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codeName="{DC05BD20-4804-7139-695A-D245BE01A294}"/>
  <workbookPr codeName="Sellest_töövihikust" defaultThemeVersion="166925"/>
  <mc:AlternateContent xmlns:mc="http://schemas.openxmlformats.org/markup-compatibility/2006">
    <mc:Choice Requires="x15">
      <x15ac:absPath xmlns:x15ac="http://schemas.microsoft.com/office/spreadsheetml/2010/11/ac" url="https://delta.mkm.ee/dhs/webdav/7ab49f0a0e6c4ad90db71e768ff5a89250404d7c/47907290023/a764d6bf-ab09-46d2-bba6-d1f45e9e94f6/"/>
    </mc:Choice>
  </mc:AlternateContent>
  <xr:revisionPtr revIDLastSave="0" documentId="13_ncr:1_{C2DAC40B-DB2E-406B-BA6B-0A865710A7E0}" xr6:coauthVersionLast="47" xr6:coauthVersionMax="47" xr10:uidLastSave="{00000000-0000-0000-0000-000000000000}"/>
  <bookViews>
    <workbookView xWindow="14303" yWindow="-98" windowWidth="28995" windowHeight="15675" tabRatio="692" firstSheet="3" activeTab="3" xr2:uid="{00000000-000D-0000-FFFF-FFFF00000000}"/>
  </bookViews>
  <sheets>
    <sheet name="kuni 2025 detsember tegevuskava" sheetId="10" state="hidden" r:id="rId1"/>
    <sheet name="Seirearuanne" sheetId="24" state="hidden" r:id="rId2"/>
    <sheet name="KK_lisa" sheetId="22" state="hidden" r:id="rId3"/>
    <sheet name="Tegevuskava" sheetId="23" r:id="rId4"/>
    <sheet name="Ettekande arvutused" sheetId="26" state="hidden" r:id="rId5"/>
    <sheet name="Personal" sheetId="27" state="hidden" r:id="rId6"/>
    <sheet name="RES ÕIGUSAKTIDE LISAVAJADUS" sheetId="28" state="hidden" r:id="rId7"/>
  </sheets>
  <definedNames>
    <definedName name="_xlnm._FilterDatabase" localSheetId="0" hidden="1">'kuni 2025 detsember tegevuskava'!$A$33:$AR$105</definedName>
    <definedName name="_xlnm.Print_Area" localSheetId="3">Tegevuskava!$A$1:$P$258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1" i="23" l="1"/>
  <c r="D212" i="23"/>
  <c r="C183" i="23"/>
  <c r="B249" i="23"/>
  <c r="B244" i="23"/>
  <c r="B235" i="23"/>
  <c r="B226" i="23"/>
  <c r="B219" i="23"/>
  <c r="B212" i="23"/>
  <c r="B207" i="23"/>
  <c r="B202" i="23"/>
  <c r="B197" i="23"/>
  <c r="B192" i="23"/>
  <c r="B183" i="23"/>
  <c r="B178" i="23"/>
  <c r="B171" i="23"/>
  <c r="B166" i="23"/>
  <c r="B156" i="23"/>
  <c r="B149" i="23"/>
  <c r="B142" i="23"/>
  <c r="B135" i="23"/>
  <c r="B128" i="23"/>
  <c r="B121" i="23"/>
  <c r="B116" i="23"/>
  <c r="B109" i="23"/>
  <c r="B104" i="23"/>
  <c r="B99" i="23"/>
  <c r="B94" i="23"/>
  <c r="B89" i="23"/>
  <c r="B82" i="23"/>
  <c r="B77" i="23"/>
  <c r="B72" i="23"/>
  <c r="B67" i="23"/>
  <c r="B62" i="23"/>
  <c r="B55" i="23"/>
  <c r="B50" i="23"/>
  <c r="B45" i="23"/>
  <c r="B40" i="23"/>
  <c r="O250" i="23"/>
  <c r="M250" i="23"/>
  <c r="M253" i="23" s="1"/>
  <c r="M252" i="23" s="1"/>
  <c r="K250" i="23"/>
  <c r="H249" i="23" a="1"/>
  <c r="H249" i="23" s="1"/>
  <c r="G249" i="23" a="1"/>
  <c r="G249" i="23" s="1"/>
  <c r="F249" i="23"/>
  <c r="E249" i="23"/>
  <c r="D249" i="23"/>
  <c r="C249" i="23"/>
  <c r="P253" i="23"/>
  <c r="N253" i="23"/>
  <c r="L253" i="23"/>
  <c r="J253" i="23"/>
  <c r="P250" i="23"/>
  <c r="O253" i="23"/>
  <c r="O252" i="23" s="1"/>
  <c r="N250" i="23"/>
  <c r="L250" i="23"/>
  <c r="K253" i="23"/>
  <c r="J250" i="23"/>
  <c r="O249" i="23"/>
  <c r="K249" i="23"/>
  <c r="O245" i="23"/>
  <c r="O248" i="23" s="1"/>
  <c r="O247" i="23" s="1"/>
  <c r="M245" i="23"/>
  <c r="M248" i="23" s="1"/>
  <c r="M247" i="23" s="1"/>
  <c r="K245" i="23"/>
  <c r="K248" i="23" s="1"/>
  <c r="H244" i="23" a="1"/>
  <c r="H244" i="23" s="1"/>
  <c r="G244" i="23" a="1"/>
  <c r="G244" i="23" s="1"/>
  <c r="F244" i="23"/>
  <c r="E244" i="23"/>
  <c r="D244" i="23"/>
  <c r="C244" i="23"/>
  <c r="P248" i="23"/>
  <c r="N248" i="23"/>
  <c r="L248" i="23"/>
  <c r="J248" i="23"/>
  <c r="P245" i="23"/>
  <c r="N245" i="23"/>
  <c r="L245" i="23"/>
  <c r="J245" i="23"/>
  <c r="U97" i="10"/>
  <c r="O238" i="23"/>
  <c r="O237" i="23"/>
  <c r="O242" i="23" s="1"/>
  <c r="O236" i="23"/>
  <c r="M238" i="23"/>
  <c r="M243" i="23" s="1"/>
  <c r="M237" i="23"/>
  <c r="M242" i="23" s="1"/>
  <c r="M236" i="23"/>
  <c r="K238" i="23"/>
  <c r="K243" i="23" s="1"/>
  <c r="K237" i="23"/>
  <c r="K242" i="23" s="1"/>
  <c r="K236" i="23"/>
  <c r="K241" i="23" s="1"/>
  <c r="G235" i="23" a="1"/>
  <c r="G235" i="23" s="1"/>
  <c r="F235" i="23"/>
  <c r="E235" i="23"/>
  <c r="D235" i="23"/>
  <c r="C235" i="23"/>
  <c r="P243" i="23"/>
  <c r="N243" i="23"/>
  <c r="L243" i="23"/>
  <c r="J243" i="23"/>
  <c r="P242" i="23"/>
  <c r="N242" i="23"/>
  <c r="L242" i="23"/>
  <c r="J242" i="23"/>
  <c r="P241" i="23"/>
  <c r="N241" i="23"/>
  <c r="L241" i="23"/>
  <c r="J241" i="23"/>
  <c r="P238" i="23"/>
  <c r="N238" i="23"/>
  <c r="L238" i="23"/>
  <c r="J238" i="23"/>
  <c r="P237" i="23"/>
  <c r="N237" i="23"/>
  <c r="L237" i="23"/>
  <c r="J237" i="23"/>
  <c r="P236" i="23"/>
  <c r="N236" i="23"/>
  <c r="L236" i="23"/>
  <c r="J236" i="23"/>
  <c r="H235" i="23" a="1"/>
  <c r="H235" i="23" s="1"/>
  <c r="O229" i="23"/>
  <c r="O234" i="23" s="1"/>
  <c r="O228" i="23"/>
  <c r="O227" i="23"/>
  <c r="O232" i="23" s="1"/>
  <c r="M229" i="23"/>
  <c r="M234" i="23" s="1"/>
  <c r="M228" i="23"/>
  <c r="M233" i="23" s="1"/>
  <c r="M227" i="23"/>
  <c r="M232" i="23" s="1"/>
  <c r="K229" i="23"/>
  <c r="K234" i="23" s="1"/>
  <c r="K228" i="23"/>
  <c r="K233" i="23" s="1"/>
  <c r="K227" i="23"/>
  <c r="H226" i="23" a="1"/>
  <c r="H226" i="23" s="1"/>
  <c r="G226" i="23" a="1"/>
  <c r="G226" i="23" s="1"/>
  <c r="F226" i="23"/>
  <c r="E226" i="23"/>
  <c r="D226" i="23"/>
  <c r="C226" i="23"/>
  <c r="P234" i="23"/>
  <c r="N234" i="23"/>
  <c r="L234" i="23"/>
  <c r="J234" i="23"/>
  <c r="P233" i="23"/>
  <c r="N233" i="23"/>
  <c r="L233" i="23"/>
  <c r="J233" i="23"/>
  <c r="P232" i="23"/>
  <c r="N232" i="23"/>
  <c r="L232" i="23"/>
  <c r="J232" i="23"/>
  <c r="P229" i="23"/>
  <c r="N229" i="23"/>
  <c r="L229" i="23"/>
  <c r="J229" i="23"/>
  <c r="P228" i="23"/>
  <c r="N228" i="23"/>
  <c r="L228" i="23"/>
  <c r="J228" i="23"/>
  <c r="P227" i="23"/>
  <c r="N227" i="23"/>
  <c r="L227" i="23"/>
  <c r="J227" i="23"/>
  <c r="C219" i="23"/>
  <c r="D219" i="23"/>
  <c r="E219" i="23"/>
  <c r="F219" i="23"/>
  <c r="G219" i="23" a="1"/>
  <c r="G219" i="23" s="1"/>
  <c r="H219" i="23" a="1"/>
  <c r="H219" i="23" s="1"/>
  <c r="J220" i="23"/>
  <c r="K220" i="23"/>
  <c r="L220" i="23"/>
  <c r="M220" i="23"/>
  <c r="M224" i="23" s="1"/>
  <c r="N220" i="23"/>
  <c r="O220" i="23"/>
  <c r="P220" i="23"/>
  <c r="J221" i="23"/>
  <c r="K221" i="23"/>
  <c r="K225" i="23" s="1"/>
  <c r="L221" i="23"/>
  <c r="M221" i="23"/>
  <c r="N221" i="23"/>
  <c r="O221" i="23"/>
  <c r="O225" i="23" s="1"/>
  <c r="P221" i="23"/>
  <c r="J224" i="23"/>
  <c r="L224" i="23"/>
  <c r="N224" i="23"/>
  <c r="P224" i="23"/>
  <c r="J225" i="23"/>
  <c r="L225" i="23"/>
  <c r="N225" i="23"/>
  <c r="P225" i="23"/>
  <c r="H178" i="23" a="1"/>
  <c r="H178" i="23" s="1"/>
  <c r="G178" i="23" a="1"/>
  <c r="G178" i="23" s="1"/>
  <c r="O137" i="23"/>
  <c r="O141" i="23" s="1"/>
  <c r="O136" i="23"/>
  <c r="M137" i="23"/>
  <c r="M141" i="23" s="1"/>
  <c r="M136" i="23"/>
  <c r="M140" i="23" s="1"/>
  <c r="K137" i="23"/>
  <c r="K141" i="23" s="1"/>
  <c r="K136" i="23"/>
  <c r="K140" i="23" s="1"/>
  <c r="H135" i="23" a="1"/>
  <c r="H135" i="23" s="1"/>
  <c r="G135" i="23" a="1"/>
  <c r="G135" i="23" s="1"/>
  <c r="F135" i="23"/>
  <c r="E135" i="23"/>
  <c r="D135" i="23"/>
  <c r="C135" i="23"/>
  <c r="P141" i="23"/>
  <c r="N141" i="23"/>
  <c r="L141" i="23"/>
  <c r="J141" i="23"/>
  <c r="P140" i="23"/>
  <c r="N140" i="23"/>
  <c r="L140" i="23"/>
  <c r="J140" i="23"/>
  <c r="P137" i="23"/>
  <c r="N137" i="23"/>
  <c r="L137" i="23"/>
  <c r="J137" i="23"/>
  <c r="P136" i="23"/>
  <c r="N136" i="23"/>
  <c r="L136" i="23"/>
  <c r="J136" i="23"/>
  <c r="O130" i="23"/>
  <c r="O134" i="23" s="1"/>
  <c r="O129" i="23"/>
  <c r="O133" i="23" s="1"/>
  <c r="M130" i="23"/>
  <c r="M134" i="23" s="1"/>
  <c r="M129" i="23"/>
  <c r="K130" i="23"/>
  <c r="K134" i="23" s="1"/>
  <c r="K129" i="23"/>
  <c r="H128" i="23" a="1"/>
  <c r="H128" i="23" s="1"/>
  <c r="G128" i="23" a="1"/>
  <c r="G128" i="23" s="1"/>
  <c r="F128" i="23"/>
  <c r="E128" i="23"/>
  <c r="D128" i="23"/>
  <c r="C128" i="23"/>
  <c r="P134" i="23"/>
  <c r="N134" i="23"/>
  <c r="L134" i="23"/>
  <c r="J134" i="23"/>
  <c r="P133" i="23"/>
  <c r="N133" i="23"/>
  <c r="L133" i="23"/>
  <c r="J133" i="23"/>
  <c r="P130" i="23"/>
  <c r="N130" i="23"/>
  <c r="L130" i="23"/>
  <c r="J130" i="23"/>
  <c r="P129" i="23"/>
  <c r="N129" i="23"/>
  <c r="L129" i="23"/>
  <c r="J129" i="23"/>
  <c r="C142" i="23"/>
  <c r="D142" i="23"/>
  <c r="E142" i="23"/>
  <c r="F142" i="23"/>
  <c r="G142" i="23" a="1"/>
  <c r="G142" i="23" s="1"/>
  <c r="H142" i="23" a="1"/>
  <c r="H142" i="23" s="1"/>
  <c r="J143" i="23"/>
  <c r="K143" i="23"/>
  <c r="L143" i="23"/>
  <c r="M143" i="23"/>
  <c r="M147" i="23" s="1"/>
  <c r="N143" i="23"/>
  <c r="O143" i="23"/>
  <c r="P143" i="23"/>
  <c r="J144" i="23"/>
  <c r="K144" i="23"/>
  <c r="L144" i="23"/>
  <c r="M144" i="23"/>
  <c r="M148" i="23" s="1"/>
  <c r="N144" i="23"/>
  <c r="O144" i="23"/>
  <c r="O148" i="23" s="1"/>
  <c r="P144" i="23"/>
  <c r="J147" i="23"/>
  <c r="L147" i="23"/>
  <c r="N147" i="23"/>
  <c r="P147" i="23"/>
  <c r="J148" i="23"/>
  <c r="L148" i="23"/>
  <c r="N148" i="23"/>
  <c r="P148" i="23"/>
  <c r="AK51" i="10"/>
  <c r="AN56" i="10"/>
  <c r="AK56" i="10"/>
  <c r="AH56" i="10"/>
  <c r="AN81" i="10"/>
  <c r="AK81" i="10"/>
  <c r="AH81" i="10"/>
  <c r="AE81" i="10"/>
  <c r="AO80" i="10"/>
  <c r="AL80" i="10"/>
  <c r="AI80" i="10"/>
  <c r="AF80" i="10"/>
  <c r="AO79" i="10"/>
  <c r="AL79" i="10"/>
  <c r="AI79" i="10"/>
  <c r="AF79" i="10"/>
  <c r="AO77" i="10"/>
  <c r="AN77" i="10"/>
  <c r="AL77" i="10"/>
  <c r="AK77" i="10"/>
  <c r="AI77" i="10"/>
  <c r="AH77" i="10"/>
  <c r="AF77" i="10"/>
  <c r="AE77" i="10"/>
  <c r="T77" i="10" s="1"/>
  <c r="AO76" i="10"/>
  <c r="AN76" i="10"/>
  <c r="AL76" i="10"/>
  <c r="AK76" i="10"/>
  <c r="AI76" i="10"/>
  <c r="AH76" i="10"/>
  <c r="AO72" i="10"/>
  <c r="AN72" i="10"/>
  <c r="AL72" i="10"/>
  <c r="AK72" i="10"/>
  <c r="AI72" i="10"/>
  <c r="AH72" i="10"/>
  <c r="AO68" i="10"/>
  <c r="AL68" i="10"/>
  <c r="AI68" i="10"/>
  <c r="AN63" i="10"/>
  <c r="AK63" i="10"/>
  <c r="AH63" i="10"/>
  <c r="AE63" i="10"/>
  <c r="AO58" i="10"/>
  <c r="AN58" i="10"/>
  <c r="AL58" i="10"/>
  <c r="AK58" i="10"/>
  <c r="AI58" i="10"/>
  <c r="AH58" i="10"/>
  <c r="AF58" i="10"/>
  <c r="AE58" i="10"/>
  <c r="AL51" i="10"/>
  <c r="AI51" i="10"/>
  <c r="AH51" i="10"/>
  <c r="G197" i="23" a="1"/>
  <c r="G197" i="23" s="1"/>
  <c r="E10" i="10"/>
  <c r="D10" i="10"/>
  <c r="C10" i="10"/>
  <c r="E8" i="10"/>
  <c r="D8" i="10"/>
  <c r="C8" i="10"/>
  <c r="AF131" i="10"/>
  <c r="AE131" i="10"/>
  <c r="AD131" i="10"/>
  <c r="AC131" i="10"/>
  <c r="AB131" i="10"/>
  <c r="AA131" i="10"/>
  <c r="Z131" i="10"/>
  <c r="Y131" i="10"/>
  <c r="X131" i="10"/>
  <c r="AF128" i="10"/>
  <c r="AE128" i="10"/>
  <c r="AD128" i="10"/>
  <c r="AC128" i="10"/>
  <c r="AB128" i="10"/>
  <c r="AA128" i="10"/>
  <c r="Z128" i="10"/>
  <c r="Y128" i="10"/>
  <c r="X128" i="10"/>
  <c r="AF125" i="10"/>
  <c r="AE125" i="10"/>
  <c r="AD125" i="10"/>
  <c r="AC125" i="10"/>
  <c r="AB125" i="10"/>
  <c r="AA125" i="10"/>
  <c r="Z125" i="10"/>
  <c r="Y125" i="10"/>
  <c r="X125" i="10"/>
  <c r="AF122" i="10"/>
  <c r="AE122" i="10"/>
  <c r="AD122" i="10"/>
  <c r="AC122" i="10"/>
  <c r="AB122" i="10"/>
  <c r="AA122" i="10"/>
  <c r="Z122" i="10"/>
  <c r="Y122" i="10"/>
  <c r="X122" i="10"/>
  <c r="AF116" i="10"/>
  <c r="AE116" i="10"/>
  <c r="AD116" i="10"/>
  <c r="AC116" i="10"/>
  <c r="AB116" i="10"/>
  <c r="AA116" i="10"/>
  <c r="Z116" i="10"/>
  <c r="Y116" i="10"/>
  <c r="X116" i="10"/>
  <c r="AF113" i="10"/>
  <c r="AE113" i="10"/>
  <c r="AD113" i="10"/>
  <c r="AC113" i="10"/>
  <c r="AB113" i="10"/>
  <c r="AA113" i="10"/>
  <c r="Z113" i="10"/>
  <c r="Y113" i="10"/>
  <c r="X113" i="10"/>
  <c r="AF110" i="10"/>
  <c r="AE110" i="10"/>
  <c r="AD110" i="10"/>
  <c r="AC110" i="10"/>
  <c r="AB110" i="10"/>
  <c r="AA110" i="10"/>
  <c r="Z110" i="10"/>
  <c r="Y110" i="10"/>
  <c r="X110" i="10"/>
  <c r="AF107" i="10"/>
  <c r="AE107" i="10"/>
  <c r="AD107" i="10"/>
  <c r="AC107" i="10"/>
  <c r="AB107" i="10"/>
  <c r="AA107" i="10"/>
  <c r="Z107" i="10"/>
  <c r="Y107" i="10"/>
  <c r="X107" i="10"/>
  <c r="K162" i="23"/>
  <c r="K165" i="23" s="1"/>
  <c r="K170" i="23"/>
  <c r="W76" i="10"/>
  <c r="V76" i="10"/>
  <c r="U76" i="10"/>
  <c r="T76" i="10"/>
  <c r="S76" i="10"/>
  <c r="R76" i="10"/>
  <c r="Q34" i="28"/>
  <c r="Q36" i="28"/>
  <c r="W77" i="10"/>
  <c r="V77" i="10"/>
  <c r="U77" i="10"/>
  <c r="S77" i="10"/>
  <c r="R77" i="10"/>
  <c r="N37" i="28"/>
  <c r="Q47" i="28"/>
  <c r="Q39" i="28"/>
  <c r="W54" i="10"/>
  <c r="V54" i="10"/>
  <c r="U54" i="10"/>
  <c r="T54" i="10"/>
  <c r="S54" i="10"/>
  <c r="R54" i="10"/>
  <c r="P34" i="28"/>
  <c r="O34" i="28"/>
  <c r="N34" i="28"/>
  <c r="Q44" i="28"/>
  <c r="Q41" i="28"/>
  <c r="Q46" i="28"/>
  <c r="Q45" i="28"/>
  <c r="M48" i="28"/>
  <c r="R102" i="10"/>
  <c r="V93" i="10"/>
  <c r="U93" i="10"/>
  <c r="W93" i="10"/>
  <c r="U94" i="10"/>
  <c r="V94" i="10"/>
  <c r="W94" i="10"/>
  <c r="R93" i="10"/>
  <c r="S93" i="10"/>
  <c r="T93" i="10"/>
  <c r="R94" i="10"/>
  <c r="S94" i="10"/>
  <c r="T94" i="10"/>
  <c r="R95" i="10"/>
  <c r="S95" i="10"/>
  <c r="T95" i="10"/>
  <c r="U95" i="10"/>
  <c r="V95" i="10"/>
  <c r="W95" i="10"/>
  <c r="R96" i="10"/>
  <c r="S96" i="10"/>
  <c r="T96" i="10"/>
  <c r="U96" i="10"/>
  <c r="V96" i="10"/>
  <c r="W96" i="10"/>
  <c r="R97" i="10"/>
  <c r="S97" i="10"/>
  <c r="T97" i="10"/>
  <c r="V97" i="10"/>
  <c r="W97" i="10"/>
  <c r="R98" i="10"/>
  <c r="S98" i="10"/>
  <c r="T98" i="10"/>
  <c r="U98" i="10"/>
  <c r="V98" i="10"/>
  <c r="W98" i="10"/>
  <c r="R99" i="10"/>
  <c r="S99" i="10"/>
  <c r="T99" i="10"/>
  <c r="U99" i="10"/>
  <c r="V99" i="10"/>
  <c r="W99" i="10"/>
  <c r="R100" i="10"/>
  <c r="S100" i="10"/>
  <c r="T100" i="10"/>
  <c r="U100" i="10"/>
  <c r="V100" i="10"/>
  <c r="W100" i="10"/>
  <c r="R101" i="10"/>
  <c r="S101" i="10"/>
  <c r="T101" i="10"/>
  <c r="U101" i="10"/>
  <c r="V101" i="10"/>
  <c r="W101" i="10"/>
  <c r="T102" i="10"/>
  <c r="U102" i="10"/>
  <c r="V102" i="10"/>
  <c r="W102" i="10"/>
  <c r="T92" i="10"/>
  <c r="AL85" i="10"/>
  <c r="AO85" i="10" s="1"/>
  <c r="AK85" i="10"/>
  <c r="AN85" i="10" s="1"/>
  <c r="AL84" i="10"/>
  <c r="AO84" i="10" s="1"/>
  <c r="AK84" i="10"/>
  <c r="AN84" i="10" s="1"/>
  <c r="Q38" i="28"/>
  <c r="Q33" i="28"/>
  <c r="Q35" i="28"/>
  <c r="N48" i="28"/>
  <c r="C22" i="22"/>
  <c r="D22" i="22"/>
  <c r="E22" i="22"/>
  <c r="F22" i="22"/>
  <c r="G22" i="22"/>
  <c r="H22" i="22"/>
  <c r="I22" i="22"/>
  <c r="B22" i="22"/>
  <c r="R39" i="24"/>
  <c r="AJ50" i="24"/>
  <c r="AG50" i="24"/>
  <c r="AD50" i="24"/>
  <c r="AA50" i="24"/>
  <c r="AH48" i="24"/>
  <c r="AE48" i="24"/>
  <c r="AB48" i="24"/>
  <c r="Y48" i="24"/>
  <c r="AB46" i="24"/>
  <c r="Y46" i="24"/>
  <c r="AA45" i="24"/>
  <c r="AG44" i="24"/>
  <c r="AD44" i="24"/>
  <c r="AA44" i="24"/>
  <c r="Y43" i="24"/>
  <c r="AA42" i="24"/>
  <c r="AA41" i="24"/>
  <c r="AA40" i="24"/>
  <c r="AA38" i="24"/>
  <c r="AA37" i="24"/>
  <c r="AA36" i="24"/>
  <c r="AA35" i="24"/>
  <c r="M249" i="23" l="1"/>
  <c r="I250" i="23"/>
  <c r="I249" i="23" s="1"/>
  <c r="K244" i="23"/>
  <c r="I253" i="23"/>
  <c r="I252" i="23" s="1"/>
  <c r="K252" i="23"/>
  <c r="M244" i="23"/>
  <c r="I248" i="23"/>
  <c r="I247" i="23" s="1"/>
  <c r="K247" i="23"/>
  <c r="O244" i="23"/>
  <c r="I245" i="23"/>
  <c r="I244" i="23" s="1"/>
  <c r="O235" i="23"/>
  <c r="O226" i="23"/>
  <c r="M235" i="23"/>
  <c r="I237" i="23"/>
  <c r="I236" i="23"/>
  <c r="I238" i="23"/>
  <c r="I227" i="23"/>
  <c r="O243" i="23"/>
  <c r="I243" i="23" s="1"/>
  <c r="I242" i="23"/>
  <c r="K240" i="23"/>
  <c r="I229" i="23"/>
  <c r="M241" i="23"/>
  <c r="K235" i="23"/>
  <c r="O241" i="23"/>
  <c r="O233" i="23"/>
  <c r="O231" i="23" s="1"/>
  <c r="K226" i="23"/>
  <c r="K232" i="23"/>
  <c r="I232" i="23" s="1"/>
  <c r="M226" i="23"/>
  <c r="I234" i="23"/>
  <c r="M231" i="23"/>
  <c r="I228" i="23"/>
  <c r="M219" i="23"/>
  <c r="I220" i="23"/>
  <c r="O219" i="23"/>
  <c r="M225" i="23"/>
  <c r="I225" i="23" s="1"/>
  <c r="K224" i="23"/>
  <c r="K223" i="23" s="1"/>
  <c r="I221" i="23"/>
  <c r="K219" i="23"/>
  <c r="O224" i="23"/>
  <c r="O223" i="23" s="1"/>
  <c r="O135" i="23"/>
  <c r="O140" i="23"/>
  <c r="O139" i="23" s="1"/>
  <c r="M128" i="23"/>
  <c r="I137" i="23"/>
  <c r="M135" i="23"/>
  <c r="M139" i="23"/>
  <c r="I129" i="23"/>
  <c r="O128" i="23"/>
  <c r="I143" i="23"/>
  <c r="I136" i="23"/>
  <c r="K133" i="23"/>
  <c r="K132" i="23" s="1"/>
  <c r="M133" i="23"/>
  <c r="M132" i="23" s="1"/>
  <c r="I141" i="23"/>
  <c r="K139" i="23"/>
  <c r="M142" i="23"/>
  <c r="K135" i="23"/>
  <c r="O132" i="23"/>
  <c r="I134" i="23"/>
  <c r="I130" i="23"/>
  <c r="K128" i="23"/>
  <c r="I144" i="23"/>
  <c r="O142" i="23"/>
  <c r="K147" i="23"/>
  <c r="M146" i="23"/>
  <c r="K142" i="23"/>
  <c r="K148" i="23"/>
  <c r="I148" i="23" s="1"/>
  <c r="O147" i="23"/>
  <c r="O146" i="23" s="1"/>
  <c r="Q77" i="10"/>
  <c r="Q76" i="10"/>
  <c r="O37" i="28"/>
  <c r="Q54" i="10"/>
  <c r="Q102" i="10"/>
  <c r="Q98" i="10"/>
  <c r="Q94" i="10"/>
  <c r="Q99" i="10"/>
  <c r="Q95" i="10"/>
  <c r="Q100" i="10"/>
  <c r="Q96" i="10"/>
  <c r="Q101" i="10"/>
  <c r="Q97" i="10"/>
  <c r="Q93" i="10"/>
  <c r="O48" i="28"/>
  <c r="I235" i="23" l="1"/>
  <c r="O240" i="23"/>
  <c r="I226" i="23"/>
  <c r="I233" i="23"/>
  <c r="I231" i="23" s="1"/>
  <c r="K231" i="23"/>
  <c r="M240" i="23"/>
  <c r="I241" i="23"/>
  <c r="I240" i="23" s="1"/>
  <c r="M223" i="23"/>
  <c r="I219" i="23"/>
  <c r="I224" i="23"/>
  <c r="I223" i="23" s="1"/>
  <c r="I140" i="23"/>
  <c r="I139" i="23" s="1"/>
  <c r="I135" i="23"/>
  <c r="I142" i="23"/>
  <c r="I128" i="23"/>
  <c r="I133" i="23"/>
  <c r="I132" i="23" s="1"/>
  <c r="I147" i="23"/>
  <c r="I146" i="23" s="1"/>
  <c r="K146" i="23"/>
  <c r="P37" i="28"/>
  <c r="Q37" i="28"/>
  <c r="P48" i="28"/>
  <c r="E16" i="23" a="1"/>
  <c r="E16" i="23" s="1"/>
  <c r="F16" i="23" a="1"/>
  <c r="F16" i="23" s="1"/>
  <c r="Q48" i="28" l="1"/>
  <c r="S39" i="10"/>
  <c r="D16" i="23" s="1" a="1"/>
  <c r="D16" i="23" s="1"/>
  <c r="W35" i="10" l="1"/>
  <c r="U36" i="24"/>
  <c r="W104" i="10"/>
  <c r="W36" i="10"/>
  <c r="W37" i="10"/>
  <c r="W38" i="10"/>
  <c r="W39" i="10"/>
  <c r="W40" i="10"/>
  <c r="W41" i="10"/>
  <c r="W42" i="10"/>
  <c r="W43" i="10"/>
  <c r="W44" i="10"/>
  <c r="W45" i="10"/>
  <c r="W46" i="10"/>
  <c r="W47" i="10"/>
  <c r="W48" i="10"/>
  <c r="W49" i="10"/>
  <c r="W50" i="10"/>
  <c r="W51" i="10"/>
  <c r="W52" i="10"/>
  <c r="W53" i="10"/>
  <c r="W55" i="10"/>
  <c r="W56" i="10"/>
  <c r="W57" i="10"/>
  <c r="W58" i="10"/>
  <c r="W59" i="10"/>
  <c r="W60" i="10"/>
  <c r="W61" i="10"/>
  <c r="W62" i="10"/>
  <c r="W63" i="10"/>
  <c r="W64" i="10"/>
  <c r="W65" i="10"/>
  <c r="W66" i="10"/>
  <c r="W67" i="10"/>
  <c r="W68" i="10"/>
  <c r="W69" i="10"/>
  <c r="W70" i="10"/>
  <c r="W72" i="10"/>
  <c r="W73" i="10"/>
  <c r="W74" i="10"/>
  <c r="W79" i="10"/>
  <c r="W80" i="10"/>
  <c r="W81" i="10"/>
  <c r="W82" i="10"/>
  <c r="W83" i="10"/>
  <c r="W84" i="10"/>
  <c r="W85" i="10"/>
  <c r="W86" i="10"/>
  <c r="W87" i="10"/>
  <c r="W88" i="10"/>
  <c r="W89" i="10"/>
  <c r="W90" i="10"/>
  <c r="W91" i="10"/>
  <c r="W92" i="10"/>
  <c r="W103" i="10"/>
  <c r="I54" i="26"/>
  <c r="H54" i="26"/>
  <c r="G54" i="26"/>
  <c r="F54" i="26"/>
  <c r="E54" i="26"/>
  <c r="D54" i="26"/>
  <c r="C42" i="26"/>
  <c r="E24" i="26"/>
  <c r="E21" i="26"/>
  <c r="E22" i="26"/>
  <c r="E23" i="26"/>
  <c r="E8" i="26"/>
  <c r="E9" i="26"/>
  <c r="E7" i="26"/>
  <c r="H82" i="26"/>
  <c r="E82" i="26"/>
  <c r="F9" i="26"/>
  <c r="F8" i="26"/>
  <c r="F7" i="26"/>
  <c r="F21" i="26"/>
  <c r="F24" i="26"/>
  <c r="F23" i="26"/>
  <c r="F22" i="26"/>
  <c r="D9" i="24"/>
  <c r="R35" i="24"/>
  <c r="S35" i="24"/>
  <c r="T35" i="24"/>
  <c r="U35" i="24"/>
  <c r="R36" i="24"/>
  <c r="S36" i="24"/>
  <c r="T36" i="24"/>
  <c r="R37" i="24"/>
  <c r="S37" i="24"/>
  <c r="T37" i="24"/>
  <c r="U37" i="24"/>
  <c r="U38" i="24"/>
  <c r="S39" i="24"/>
  <c r="U39" i="24"/>
  <c r="R40" i="24"/>
  <c r="S40" i="24"/>
  <c r="T40" i="24"/>
  <c r="U40" i="24"/>
  <c r="R41" i="24"/>
  <c r="S41" i="24"/>
  <c r="T41" i="24"/>
  <c r="U41" i="24"/>
  <c r="R42" i="24"/>
  <c r="S42" i="24"/>
  <c r="T42" i="24"/>
  <c r="U42" i="24"/>
  <c r="R44" i="24"/>
  <c r="S44" i="24"/>
  <c r="T44" i="24"/>
  <c r="R46" i="24"/>
  <c r="S46" i="24"/>
  <c r="T46" i="24"/>
  <c r="U46" i="24"/>
  <c r="R47" i="24"/>
  <c r="S47" i="24"/>
  <c r="T47" i="24"/>
  <c r="U47" i="24"/>
  <c r="R49" i="24"/>
  <c r="S49" i="24"/>
  <c r="T49" i="24"/>
  <c r="U49" i="24"/>
  <c r="R51" i="24"/>
  <c r="S51" i="24"/>
  <c r="T51" i="24"/>
  <c r="R52" i="24"/>
  <c r="S52" i="24"/>
  <c r="T52" i="24"/>
  <c r="U52" i="24"/>
  <c r="R53" i="24"/>
  <c r="S53" i="24"/>
  <c r="T53" i="24"/>
  <c r="U53" i="24"/>
  <c r="R55" i="24"/>
  <c r="S55" i="24"/>
  <c r="T55" i="24"/>
  <c r="R56" i="24"/>
  <c r="S56" i="24"/>
  <c r="T56" i="24"/>
  <c r="U56" i="24"/>
  <c r="R58" i="24"/>
  <c r="S58" i="24"/>
  <c r="T58" i="24"/>
  <c r="U58" i="24"/>
  <c r="R63" i="24"/>
  <c r="S63" i="24"/>
  <c r="T63" i="24"/>
  <c r="U63" i="24"/>
  <c r="R64" i="24"/>
  <c r="S64" i="24"/>
  <c r="T64" i="24"/>
  <c r="U64" i="24"/>
  <c r="R65" i="24"/>
  <c r="D8" i="24" s="1"/>
  <c r="S65" i="24"/>
  <c r="T65" i="24"/>
  <c r="U65" i="24"/>
  <c r="R66" i="24"/>
  <c r="S66" i="24"/>
  <c r="T66" i="24"/>
  <c r="U66" i="24"/>
  <c r="R67" i="24"/>
  <c r="S67" i="24"/>
  <c r="T67" i="24"/>
  <c r="U67" i="24"/>
  <c r="R68" i="24"/>
  <c r="S68" i="24"/>
  <c r="T68" i="24"/>
  <c r="U68" i="24"/>
  <c r="R69" i="24"/>
  <c r="S69" i="24"/>
  <c r="T69" i="24"/>
  <c r="U69" i="24"/>
  <c r="R72" i="24"/>
  <c r="S72" i="24"/>
  <c r="T72" i="24"/>
  <c r="U72" i="24"/>
  <c r="R73" i="24"/>
  <c r="S73" i="24"/>
  <c r="T73" i="24"/>
  <c r="U73" i="24"/>
  <c r="R74" i="24"/>
  <c r="S74" i="24"/>
  <c r="T74" i="24"/>
  <c r="U74" i="24"/>
  <c r="R75" i="24"/>
  <c r="S75" i="24"/>
  <c r="T75" i="24"/>
  <c r="U75" i="24"/>
  <c r="R76" i="24"/>
  <c r="S76" i="24"/>
  <c r="T76" i="24"/>
  <c r="U76" i="24"/>
  <c r="R77" i="24"/>
  <c r="S77" i="24"/>
  <c r="T77" i="24"/>
  <c r="U77" i="24"/>
  <c r="R78" i="24"/>
  <c r="S78" i="24"/>
  <c r="T78" i="24"/>
  <c r="U78" i="24"/>
  <c r="R79" i="24"/>
  <c r="S79" i="24"/>
  <c r="T79" i="24"/>
  <c r="U79" i="24"/>
  <c r="R80" i="24"/>
  <c r="S80" i="24"/>
  <c r="T80" i="24"/>
  <c r="U80" i="24"/>
  <c r="R81" i="24"/>
  <c r="S81" i="24"/>
  <c r="T81" i="24"/>
  <c r="U81" i="24"/>
  <c r="R82" i="24"/>
  <c r="S82" i="24"/>
  <c r="T82" i="24"/>
  <c r="U82" i="24"/>
  <c r="R83" i="24"/>
  <c r="S83" i="24"/>
  <c r="T83" i="24"/>
  <c r="U83" i="24"/>
  <c r="R84" i="24"/>
  <c r="S84" i="24"/>
  <c r="T84" i="24"/>
  <c r="U84" i="24"/>
  <c r="R85" i="24"/>
  <c r="S85" i="24"/>
  <c r="T85" i="24"/>
  <c r="U85" i="24"/>
  <c r="R86" i="24"/>
  <c r="S86" i="24"/>
  <c r="T86" i="24"/>
  <c r="U86" i="24"/>
  <c r="R87" i="24"/>
  <c r="S87" i="24"/>
  <c r="T87" i="24"/>
  <c r="U87" i="24"/>
  <c r="R88" i="24"/>
  <c r="S88" i="24"/>
  <c r="T88" i="24"/>
  <c r="U88" i="24"/>
  <c r="R89" i="24"/>
  <c r="S89" i="24"/>
  <c r="T89" i="24"/>
  <c r="U89" i="24"/>
  <c r="R90" i="24"/>
  <c r="S90" i="24"/>
  <c r="T90" i="24"/>
  <c r="U90" i="24"/>
  <c r="R91" i="24"/>
  <c r="S91" i="24"/>
  <c r="T91" i="24"/>
  <c r="U91" i="24"/>
  <c r="R92" i="24"/>
  <c r="S92" i="24"/>
  <c r="T92" i="24"/>
  <c r="U92" i="24"/>
  <c r="R93" i="24"/>
  <c r="S93" i="24"/>
  <c r="T93" i="24"/>
  <c r="U93" i="24"/>
  <c r="R94" i="24"/>
  <c r="S94" i="24"/>
  <c r="T94" i="24"/>
  <c r="U94" i="24"/>
  <c r="R38" i="24"/>
  <c r="S38" i="24"/>
  <c r="T38" i="24"/>
  <c r="T39" i="24"/>
  <c r="R43" i="24"/>
  <c r="S43" i="24"/>
  <c r="T43" i="24"/>
  <c r="U43" i="24"/>
  <c r="U44" i="24"/>
  <c r="R45" i="24"/>
  <c r="S45" i="24"/>
  <c r="T45" i="24"/>
  <c r="U45" i="24"/>
  <c r="R48" i="24"/>
  <c r="S48" i="24"/>
  <c r="T48" i="24"/>
  <c r="U48" i="24"/>
  <c r="R50" i="24"/>
  <c r="S50" i="24"/>
  <c r="T50" i="24"/>
  <c r="U50" i="24"/>
  <c r="U51" i="24"/>
  <c r="R54" i="24"/>
  <c r="S54" i="24"/>
  <c r="T54" i="24"/>
  <c r="U54" i="24"/>
  <c r="U55" i="24"/>
  <c r="R57" i="24"/>
  <c r="S57" i="24"/>
  <c r="T57" i="24"/>
  <c r="U57" i="24"/>
  <c r="R59" i="24"/>
  <c r="S59" i="24"/>
  <c r="T59" i="24"/>
  <c r="U59" i="24"/>
  <c r="R60" i="24"/>
  <c r="S60" i="24"/>
  <c r="T60" i="24"/>
  <c r="U60" i="24"/>
  <c r="R61" i="24"/>
  <c r="S61" i="24"/>
  <c r="T61" i="24"/>
  <c r="U61" i="24"/>
  <c r="R62" i="24"/>
  <c r="S62" i="24"/>
  <c r="T62" i="24"/>
  <c r="U62" i="24"/>
  <c r="R70" i="24"/>
  <c r="S70" i="24"/>
  <c r="T70" i="24"/>
  <c r="U70" i="24"/>
  <c r="R71" i="24"/>
  <c r="S71" i="24"/>
  <c r="T71" i="24"/>
  <c r="U71" i="24"/>
  <c r="B11" i="24"/>
  <c r="D7" i="24" l="1"/>
  <c r="D10" i="24"/>
  <c r="D14" i="24"/>
  <c r="D13" i="24"/>
  <c r="D6" i="24"/>
  <c r="F71" i="26"/>
  <c r="G71" i="26"/>
  <c r="C71" i="26"/>
  <c r="H83" i="26"/>
  <c r="H81" i="26"/>
  <c r="H80" i="26"/>
  <c r="H79" i="26"/>
  <c r="H78" i="26"/>
  <c r="H77" i="26"/>
  <c r="H76" i="26"/>
  <c r="H75" i="26"/>
  <c r="H74" i="26"/>
  <c r="H73" i="26"/>
  <c r="H72" i="26"/>
  <c r="E72" i="26"/>
  <c r="E73" i="26"/>
  <c r="E74" i="26"/>
  <c r="E75" i="26"/>
  <c r="E76" i="26"/>
  <c r="E77" i="26"/>
  <c r="E78" i="26"/>
  <c r="E79" i="26"/>
  <c r="E80" i="26"/>
  <c r="E81" i="26"/>
  <c r="E83" i="26"/>
  <c r="E178" i="23"/>
  <c r="G35" i="23" a="1"/>
  <c r="G35" i="23" s="1"/>
  <c r="E35" i="23"/>
  <c r="K78" i="23"/>
  <c r="O157" i="23"/>
  <c r="O160" i="23" s="1"/>
  <c r="M157" i="23"/>
  <c r="M160" i="23" s="1"/>
  <c r="K157" i="23"/>
  <c r="O151" i="23"/>
  <c r="O155" i="23" s="1"/>
  <c r="O150" i="23"/>
  <c r="O154" i="23" s="1"/>
  <c r="M151" i="23"/>
  <c r="M155" i="23" s="1"/>
  <c r="M150" i="23"/>
  <c r="M154" i="23" s="1"/>
  <c r="O162" i="23"/>
  <c r="O165" i="23" s="1"/>
  <c r="K151" i="23"/>
  <c r="K155" i="23" s="1"/>
  <c r="M162" i="23"/>
  <c r="M165" i="23" s="1"/>
  <c r="K150" i="23"/>
  <c r="K154" i="23" s="1"/>
  <c r="O167" i="23"/>
  <c r="O170" i="23" s="1"/>
  <c r="M167" i="23"/>
  <c r="M170" i="23" s="1"/>
  <c r="K167" i="23"/>
  <c r="O173" i="23"/>
  <c r="O177" i="23" s="1"/>
  <c r="O172" i="23"/>
  <c r="O176" i="23" s="1"/>
  <c r="M173" i="23"/>
  <c r="M177" i="23" s="1"/>
  <c r="M172" i="23"/>
  <c r="M176" i="23" s="1"/>
  <c r="K173" i="23"/>
  <c r="K172" i="23"/>
  <c r="K176" i="23" s="1"/>
  <c r="O179" i="23"/>
  <c r="O182" i="23" s="1"/>
  <c r="M179" i="23"/>
  <c r="M182" i="23" s="1"/>
  <c r="K179" i="23"/>
  <c r="K182" i="23" s="1"/>
  <c r="O123" i="23"/>
  <c r="O127" i="23" s="1"/>
  <c r="O122" i="23"/>
  <c r="O126" i="23" s="1"/>
  <c r="M123" i="23"/>
  <c r="M127" i="23" s="1"/>
  <c r="M122" i="23"/>
  <c r="M126" i="23" s="1"/>
  <c r="K123" i="23"/>
  <c r="K127" i="23" s="1"/>
  <c r="K122" i="23"/>
  <c r="O117" i="23"/>
  <c r="O120" i="23" s="1"/>
  <c r="M117" i="23"/>
  <c r="M120" i="23" s="1"/>
  <c r="K117" i="23"/>
  <c r="O110" i="23"/>
  <c r="O114" i="23" s="1"/>
  <c r="O111" i="23"/>
  <c r="O115" i="23" s="1"/>
  <c r="M111" i="23"/>
  <c r="M115" i="23" s="1"/>
  <c r="M110" i="23"/>
  <c r="M114" i="23" s="1"/>
  <c r="K111" i="23"/>
  <c r="K115" i="23" s="1"/>
  <c r="O186" i="23"/>
  <c r="O191" i="23" s="1"/>
  <c r="O185" i="23"/>
  <c r="O190" i="23" s="1"/>
  <c r="O184" i="23"/>
  <c r="M186" i="23"/>
  <c r="M191" i="23" s="1"/>
  <c r="M185" i="23"/>
  <c r="M190" i="23" s="1"/>
  <c r="M184" i="23"/>
  <c r="K186" i="23"/>
  <c r="K185" i="23"/>
  <c r="K190" i="23" s="1"/>
  <c r="K184" i="23"/>
  <c r="K189" i="23" s="1"/>
  <c r="O193" i="23"/>
  <c r="O196" i="23" s="1"/>
  <c r="M193" i="23"/>
  <c r="M196" i="23" s="1"/>
  <c r="K193" i="23"/>
  <c r="K196" i="23" s="1"/>
  <c r="K110" i="23"/>
  <c r="K114" i="23" s="1"/>
  <c r="O198" i="23"/>
  <c r="M198" i="23"/>
  <c r="M201" i="23" s="1"/>
  <c r="K198" i="23"/>
  <c r="K201" i="23" s="1"/>
  <c r="O105" i="23"/>
  <c r="O108" i="23" s="1"/>
  <c r="M105" i="23"/>
  <c r="M108" i="23" s="1"/>
  <c r="O203" i="23"/>
  <c r="K105" i="23"/>
  <c r="K108" i="23" s="1"/>
  <c r="M203" i="23"/>
  <c r="M206" i="23" s="1"/>
  <c r="K203" i="23"/>
  <c r="K206" i="23" s="1"/>
  <c r="O208" i="23"/>
  <c r="O211" i="23" s="1"/>
  <c r="M208" i="23"/>
  <c r="M211" i="23" s="1"/>
  <c r="K208" i="23"/>
  <c r="O100" i="23"/>
  <c r="O214" i="23"/>
  <c r="O218" i="23" s="1"/>
  <c r="O213" i="23"/>
  <c r="O217" i="23" s="1"/>
  <c r="M100" i="23"/>
  <c r="M214" i="23"/>
  <c r="M218" i="23" s="1"/>
  <c r="M213" i="23"/>
  <c r="M217" i="23" s="1"/>
  <c r="K214" i="23"/>
  <c r="K218" i="23" s="1"/>
  <c r="K100" i="23"/>
  <c r="K213" i="23"/>
  <c r="O95" i="23"/>
  <c r="M95" i="23"/>
  <c r="K95" i="23"/>
  <c r="O90" i="23"/>
  <c r="M90" i="23"/>
  <c r="K90" i="23"/>
  <c r="O84" i="23"/>
  <c r="O83" i="23"/>
  <c r="M84" i="23"/>
  <c r="M83" i="23"/>
  <c r="K83" i="23"/>
  <c r="K84" i="23"/>
  <c r="O78" i="23"/>
  <c r="O32" i="23" s="1"/>
  <c r="M78" i="23"/>
  <c r="M32" i="23" s="1"/>
  <c r="O73" i="23"/>
  <c r="M73" i="23"/>
  <c r="K73" i="23"/>
  <c r="O68" i="23"/>
  <c r="M68" i="23"/>
  <c r="K68" i="23"/>
  <c r="O63" i="23"/>
  <c r="M63" i="23"/>
  <c r="K63" i="23"/>
  <c r="O57" i="23"/>
  <c r="O56" i="23"/>
  <c r="M57" i="23"/>
  <c r="M56" i="23"/>
  <c r="K57" i="23"/>
  <c r="K61" i="23" s="1"/>
  <c r="K56" i="23"/>
  <c r="X137" i="10"/>
  <c r="Y146" i="10"/>
  <c r="Z146" i="10"/>
  <c r="AA146" i="10"/>
  <c r="AB146" i="10"/>
  <c r="AC146" i="10"/>
  <c r="AD146" i="10"/>
  <c r="AE146" i="10"/>
  <c r="AF146" i="10"/>
  <c r="Y143" i="10"/>
  <c r="Z143" i="10"/>
  <c r="AA143" i="10"/>
  <c r="AB143" i="10"/>
  <c r="AC143" i="10"/>
  <c r="AD143" i="10"/>
  <c r="AE143" i="10"/>
  <c r="AF143" i="10"/>
  <c r="Y140" i="10"/>
  <c r="Z140" i="10"/>
  <c r="AA140" i="10"/>
  <c r="AB140" i="10"/>
  <c r="AC140" i="10"/>
  <c r="AD140" i="10"/>
  <c r="AE140" i="10"/>
  <c r="AF140" i="10"/>
  <c r="X146" i="10"/>
  <c r="X143" i="10"/>
  <c r="X140" i="10"/>
  <c r="Y137" i="10"/>
  <c r="Z137" i="10"/>
  <c r="AA137" i="10"/>
  <c r="AB137" i="10"/>
  <c r="AC137" i="10"/>
  <c r="AD137" i="10"/>
  <c r="AE137" i="10"/>
  <c r="AF137" i="10"/>
  <c r="P218" i="23"/>
  <c r="N218" i="23"/>
  <c r="L218" i="23"/>
  <c r="J218" i="23"/>
  <c r="P217" i="23"/>
  <c r="N217" i="23"/>
  <c r="L217" i="23"/>
  <c r="J217" i="23"/>
  <c r="P214" i="23"/>
  <c r="N214" i="23"/>
  <c r="L214" i="23"/>
  <c r="J214" i="23"/>
  <c r="P213" i="23"/>
  <c r="N213" i="23"/>
  <c r="L213" i="23"/>
  <c r="J213" i="23"/>
  <c r="P211" i="23"/>
  <c r="N211" i="23"/>
  <c r="L211" i="23"/>
  <c r="J211" i="23"/>
  <c r="P208" i="23"/>
  <c r="N208" i="23"/>
  <c r="L208" i="23"/>
  <c r="J208" i="23"/>
  <c r="P206" i="23"/>
  <c r="N206" i="23"/>
  <c r="L206" i="23"/>
  <c r="J206" i="23"/>
  <c r="P203" i="23"/>
  <c r="N203" i="23"/>
  <c r="L203" i="23"/>
  <c r="J203" i="23"/>
  <c r="P201" i="23"/>
  <c r="N201" i="23"/>
  <c r="L201" i="23"/>
  <c r="J201" i="23"/>
  <c r="P198" i="23"/>
  <c r="N198" i="23"/>
  <c r="L198" i="23"/>
  <c r="J198" i="23"/>
  <c r="P196" i="23"/>
  <c r="N196" i="23"/>
  <c r="L196" i="23"/>
  <c r="J196" i="23"/>
  <c r="P193" i="23"/>
  <c r="N193" i="23"/>
  <c r="L193" i="23"/>
  <c r="J193" i="23"/>
  <c r="P191" i="23"/>
  <c r="N191" i="23"/>
  <c r="L191" i="23"/>
  <c r="J191" i="23"/>
  <c r="P190" i="23"/>
  <c r="N190" i="23"/>
  <c r="L190" i="23"/>
  <c r="J190" i="23"/>
  <c r="P189" i="23"/>
  <c r="N189" i="23"/>
  <c r="L189" i="23"/>
  <c r="J189" i="23"/>
  <c r="P186" i="23"/>
  <c r="N186" i="23"/>
  <c r="L186" i="23"/>
  <c r="J186" i="23"/>
  <c r="P185" i="23"/>
  <c r="N185" i="23"/>
  <c r="L185" i="23"/>
  <c r="J185" i="23"/>
  <c r="P184" i="23"/>
  <c r="N184" i="23"/>
  <c r="L184" i="23"/>
  <c r="J184" i="23"/>
  <c r="P182" i="23"/>
  <c r="N182" i="23"/>
  <c r="L182" i="23"/>
  <c r="J182" i="23"/>
  <c r="P179" i="23"/>
  <c r="N179" i="23"/>
  <c r="L179" i="23"/>
  <c r="J179" i="23"/>
  <c r="P177" i="23"/>
  <c r="N177" i="23"/>
  <c r="L177" i="23"/>
  <c r="J177" i="23"/>
  <c r="P176" i="23"/>
  <c r="N176" i="23"/>
  <c r="L176" i="23"/>
  <c r="J176" i="23"/>
  <c r="P173" i="23"/>
  <c r="N173" i="23"/>
  <c r="L173" i="23"/>
  <c r="J173" i="23"/>
  <c r="P172" i="23"/>
  <c r="N172" i="23"/>
  <c r="L172" i="23"/>
  <c r="J172" i="23"/>
  <c r="P170" i="23"/>
  <c r="N170" i="23"/>
  <c r="L170" i="23"/>
  <c r="J170" i="23"/>
  <c r="P167" i="23"/>
  <c r="N167" i="23"/>
  <c r="L167" i="23"/>
  <c r="J167" i="23"/>
  <c r="P165" i="23"/>
  <c r="N165" i="23"/>
  <c r="L165" i="23"/>
  <c r="J165" i="23"/>
  <c r="P162" i="23"/>
  <c r="N162" i="23"/>
  <c r="L162" i="23"/>
  <c r="J162" i="23"/>
  <c r="P160" i="23"/>
  <c r="N160" i="23"/>
  <c r="L160" i="23"/>
  <c r="J160" i="23"/>
  <c r="P157" i="23"/>
  <c r="N157" i="23"/>
  <c r="L157" i="23"/>
  <c r="J157" i="23"/>
  <c r="P155" i="23"/>
  <c r="N155" i="23"/>
  <c r="L155" i="23"/>
  <c r="J155" i="23"/>
  <c r="P154" i="23"/>
  <c r="N154" i="23"/>
  <c r="L154" i="23"/>
  <c r="J154" i="23"/>
  <c r="P151" i="23"/>
  <c r="N151" i="23"/>
  <c r="L151" i="23"/>
  <c r="J151" i="23"/>
  <c r="P150" i="23"/>
  <c r="N150" i="23"/>
  <c r="L150" i="23"/>
  <c r="J150" i="23"/>
  <c r="J122" i="23"/>
  <c r="L122" i="23"/>
  <c r="N122" i="23"/>
  <c r="P122" i="23"/>
  <c r="J123" i="23"/>
  <c r="L123" i="23"/>
  <c r="N123" i="23"/>
  <c r="P123" i="23"/>
  <c r="J126" i="23"/>
  <c r="L126" i="23"/>
  <c r="N126" i="23"/>
  <c r="P126" i="23"/>
  <c r="J127" i="23"/>
  <c r="L127" i="23"/>
  <c r="N127" i="23"/>
  <c r="P127" i="23"/>
  <c r="J117" i="23"/>
  <c r="L117" i="23"/>
  <c r="N117" i="23"/>
  <c r="P117" i="23"/>
  <c r="J120" i="23"/>
  <c r="L120" i="23"/>
  <c r="N120" i="23"/>
  <c r="P120" i="23"/>
  <c r="J110" i="23"/>
  <c r="L110" i="23"/>
  <c r="N110" i="23"/>
  <c r="P110" i="23"/>
  <c r="J111" i="23"/>
  <c r="L111" i="23"/>
  <c r="N111" i="23"/>
  <c r="P111" i="23"/>
  <c r="J114" i="23"/>
  <c r="L114" i="23"/>
  <c r="N114" i="23"/>
  <c r="P114" i="23"/>
  <c r="J115" i="23"/>
  <c r="L115" i="23"/>
  <c r="N115" i="23"/>
  <c r="P115" i="23"/>
  <c r="J105" i="23"/>
  <c r="L105" i="23"/>
  <c r="N105" i="23"/>
  <c r="P105" i="23"/>
  <c r="J108" i="23"/>
  <c r="L108" i="23"/>
  <c r="N108" i="23"/>
  <c r="P108" i="23"/>
  <c r="M33" i="23" l="1"/>
  <c r="O33" i="23"/>
  <c r="K32" i="23"/>
  <c r="K33" i="23"/>
  <c r="E17" i="23" a="1"/>
  <c r="E17" i="23" s="1"/>
  <c r="D17" i="23" a="1"/>
  <c r="D17" i="23" s="1"/>
  <c r="D15" i="23" a="1"/>
  <c r="D15" i="23" s="1"/>
  <c r="E15" i="23" a="1"/>
  <c r="E15" i="23" s="1"/>
  <c r="F17" i="23" a="1"/>
  <c r="F17" i="23" s="1"/>
  <c r="F15" i="23" a="1"/>
  <c r="F15" i="23" s="1"/>
  <c r="H71" i="26"/>
  <c r="D71" i="26"/>
  <c r="E71" i="26"/>
  <c r="M166" i="23"/>
  <c r="K153" i="23"/>
  <c r="I213" i="23"/>
  <c r="K217" i="23"/>
  <c r="K216" i="23" s="1"/>
  <c r="I218" i="23"/>
  <c r="K171" i="23"/>
  <c r="M156" i="23"/>
  <c r="I167" i="23"/>
  <c r="I172" i="23"/>
  <c r="K202" i="23"/>
  <c r="I157" i="23"/>
  <c r="K207" i="23"/>
  <c r="M212" i="23"/>
  <c r="K212" i="23"/>
  <c r="I186" i="23"/>
  <c r="O202" i="23"/>
  <c r="O212" i="23"/>
  <c r="M216" i="23"/>
  <c r="O216" i="23"/>
  <c r="I214" i="23"/>
  <c r="M202" i="23"/>
  <c r="I182" i="23"/>
  <c r="I154" i="23"/>
  <c r="O159" i="23"/>
  <c r="K156" i="23"/>
  <c r="M161" i="23"/>
  <c r="I162" i="23"/>
  <c r="O166" i="23"/>
  <c r="I176" i="23"/>
  <c r="I184" i="23"/>
  <c r="O197" i="23"/>
  <c r="I208" i="23"/>
  <c r="M178" i="23"/>
  <c r="K197" i="23"/>
  <c r="K183" i="23"/>
  <c r="O207" i="23"/>
  <c r="M149" i="23"/>
  <c r="I151" i="23"/>
  <c r="I170" i="23"/>
  <c r="I185" i="23"/>
  <c r="I193" i="23"/>
  <c r="O161" i="23"/>
  <c r="O181" i="23"/>
  <c r="K178" i="23"/>
  <c r="O153" i="23"/>
  <c r="I155" i="23"/>
  <c r="I173" i="23"/>
  <c r="I190" i="23"/>
  <c r="O192" i="23"/>
  <c r="I196" i="23"/>
  <c r="O183" i="23"/>
  <c r="I179" i="23"/>
  <c r="I150" i="23"/>
  <c r="O175" i="23"/>
  <c r="I203" i="23"/>
  <c r="M210" i="23"/>
  <c r="O210" i="23"/>
  <c r="K211" i="23"/>
  <c r="I211" i="23" s="1"/>
  <c r="M207" i="23"/>
  <c r="O206" i="23"/>
  <c r="I206" i="23" s="1"/>
  <c r="M205" i="23"/>
  <c r="M200" i="23"/>
  <c r="K200" i="23"/>
  <c r="I198" i="23"/>
  <c r="M197" i="23"/>
  <c r="O201" i="23"/>
  <c r="I201" i="23" s="1"/>
  <c r="M195" i="23"/>
  <c r="K195" i="23"/>
  <c r="M192" i="23"/>
  <c r="O195" i="23"/>
  <c r="K192" i="23"/>
  <c r="M183" i="23"/>
  <c r="O189" i="23"/>
  <c r="O188" i="23" s="1"/>
  <c r="K191" i="23"/>
  <c r="I191" i="23" s="1"/>
  <c r="M189" i="23"/>
  <c r="O178" i="23"/>
  <c r="M175" i="23"/>
  <c r="K177" i="23"/>
  <c r="I177" i="23" s="1"/>
  <c r="O171" i="23"/>
  <c r="M171" i="23"/>
  <c r="K169" i="23"/>
  <c r="O169" i="23"/>
  <c r="K166" i="23"/>
  <c r="I165" i="23"/>
  <c r="K164" i="23"/>
  <c r="O164" i="23"/>
  <c r="K161" i="23"/>
  <c r="K160" i="23"/>
  <c r="I160" i="23" s="1"/>
  <c r="O156" i="23"/>
  <c r="K149" i="23"/>
  <c r="O149" i="23"/>
  <c r="I122" i="23"/>
  <c r="I127" i="23"/>
  <c r="K121" i="23"/>
  <c r="M125" i="23"/>
  <c r="I123" i="23"/>
  <c r="K126" i="23"/>
  <c r="I126" i="23" s="1"/>
  <c r="O125" i="23"/>
  <c r="M121" i="23"/>
  <c r="O121" i="23"/>
  <c r="O119" i="23"/>
  <c r="I117" i="23"/>
  <c r="M119" i="23"/>
  <c r="K116" i="23"/>
  <c r="O116" i="23"/>
  <c r="K120" i="23"/>
  <c r="I120" i="23" s="1"/>
  <c r="M116" i="23"/>
  <c r="I114" i="23"/>
  <c r="O113" i="23"/>
  <c r="I115" i="23"/>
  <c r="M113" i="23"/>
  <c r="K113" i="23"/>
  <c r="I110" i="23"/>
  <c r="K109" i="23"/>
  <c r="O109" i="23"/>
  <c r="I111" i="23"/>
  <c r="M109" i="23"/>
  <c r="M107" i="23"/>
  <c r="K104" i="23"/>
  <c r="O107" i="23"/>
  <c r="I105" i="23"/>
  <c r="I108" i="23"/>
  <c r="O104" i="23"/>
  <c r="M104" i="23"/>
  <c r="I166" i="23" l="1"/>
  <c r="I217" i="23"/>
  <c r="I216" i="23" s="1"/>
  <c r="I202" i="23"/>
  <c r="I212" i="23"/>
  <c r="I149" i="23"/>
  <c r="I161" i="23"/>
  <c r="I171" i="23"/>
  <c r="I178" i="23"/>
  <c r="O205" i="23"/>
  <c r="O200" i="23"/>
  <c r="I156" i="23"/>
  <c r="I192" i="23"/>
  <c r="I207" i="23"/>
  <c r="I183" i="23"/>
  <c r="I197" i="23"/>
  <c r="K210" i="23"/>
  <c r="I210" i="23"/>
  <c r="K205" i="23"/>
  <c r="I205" i="23"/>
  <c r="I200" i="23"/>
  <c r="I195" i="23"/>
  <c r="M188" i="23"/>
  <c r="I189" i="23"/>
  <c r="I188" i="23" s="1"/>
  <c r="K188" i="23"/>
  <c r="M181" i="23"/>
  <c r="I181" i="23"/>
  <c r="K181" i="23"/>
  <c r="I175" i="23"/>
  <c r="K175" i="23"/>
  <c r="I169" i="23"/>
  <c r="M169" i="23"/>
  <c r="M164" i="23"/>
  <c r="I164" i="23"/>
  <c r="M159" i="23"/>
  <c r="I159" i="23"/>
  <c r="K159" i="23"/>
  <c r="M153" i="23"/>
  <c r="I153" i="23"/>
  <c r="I121" i="23"/>
  <c r="I125" i="23"/>
  <c r="K125" i="23"/>
  <c r="I116" i="23"/>
  <c r="I113" i="23"/>
  <c r="I104" i="23"/>
  <c r="I119" i="23"/>
  <c r="K119" i="23"/>
  <c r="I109" i="23"/>
  <c r="I107" i="23"/>
  <c r="K107" i="23"/>
  <c r="Z126" i="10" l="1"/>
  <c r="Y126" i="10"/>
  <c r="X126" i="10"/>
  <c r="AF123" i="10"/>
  <c r="AD123" i="10"/>
  <c r="AB123" i="10"/>
  <c r="Z123" i="10"/>
  <c r="X123" i="10"/>
  <c r="AF147" i="10"/>
  <c r="AE147" i="10"/>
  <c r="AD147" i="10"/>
  <c r="AC147" i="10"/>
  <c r="AB147" i="10"/>
  <c r="AA147" i="10"/>
  <c r="Z147" i="10"/>
  <c r="Y147" i="10"/>
  <c r="X147" i="10"/>
  <c r="AF144" i="10"/>
  <c r="AE144" i="10"/>
  <c r="AD144" i="10"/>
  <c r="AC144" i="10"/>
  <c r="AB144" i="10"/>
  <c r="AA144" i="10"/>
  <c r="Z144" i="10"/>
  <c r="Y144" i="10"/>
  <c r="X144" i="10"/>
  <c r="AF141" i="10"/>
  <c r="AF132" i="10"/>
  <c r="AE141" i="10"/>
  <c r="AE132" i="10"/>
  <c r="AD132" i="10"/>
  <c r="AC132" i="10"/>
  <c r="AD141" i="10"/>
  <c r="AB132" i="10"/>
  <c r="AC141" i="10"/>
  <c r="AA132" i="10"/>
  <c r="Z132" i="10"/>
  <c r="AB141" i="10"/>
  <c r="Y132" i="10"/>
  <c r="X132" i="10"/>
  <c r="AA141" i="10"/>
  <c r="Z141" i="10"/>
  <c r="Y141" i="10"/>
  <c r="AF129" i="10"/>
  <c r="AE129" i="10"/>
  <c r="AD129" i="10"/>
  <c r="X141" i="10"/>
  <c r="AC129" i="10"/>
  <c r="AB129" i="10"/>
  <c r="AA129" i="10"/>
  <c r="Z129" i="10"/>
  <c r="Y129" i="10"/>
  <c r="X129" i="10"/>
  <c r="AF126" i="10"/>
  <c r="AF138" i="10"/>
  <c r="AE138" i="10"/>
  <c r="AD138" i="10"/>
  <c r="AC138" i="10"/>
  <c r="AB138" i="10"/>
  <c r="Z138" i="10"/>
  <c r="Y138" i="10"/>
  <c r="AE126" i="10"/>
  <c r="AD126" i="10"/>
  <c r="AC126" i="10"/>
  <c r="AB126" i="10"/>
  <c r="AA126" i="10"/>
  <c r="Y104" i="10"/>
  <c r="Z104" i="10"/>
  <c r="AA104" i="10"/>
  <c r="AB104" i="10"/>
  <c r="AC104" i="10"/>
  <c r="AD104" i="10"/>
  <c r="AE104" i="10"/>
  <c r="AF104" i="10"/>
  <c r="X104" i="10"/>
  <c r="AB105" i="10" l="1"/>
  <c r="AD105" i="10"/>
  <c r="AE105" i="10"/>
  <c r="AF105" i="10"/>
  <c r="AA105" i="10"/>
  <c r="AC105" i="10"/>
  <c r="AC123" i="10"/>
  <c r="AA123" i="10"/>
  <c r="Y123" i="10"/>
  <c r="X138" i="10"/>
  <c r="AA138" i="10"/>
  <c r="AE123" i="10"/>
  <c r="AF108" i="10" l="1"/>
  <c r="AD108" i="10"/>
  <c r="AB108" i="10"/>
  <c r="AC108" i="10"/>
  <c r="AE108" i="10"/>
  <c r="Z117" i="10"/>
  <c r="Y117" i="10"/>
  <c r="X117" i="10"/>
  <c r="Z114" i="10"/>
  <c r="Y114" i="10"/>
  <c r="X114" i="10"/>
  <c r="AA108" i="10"/>
  <c r="AF117" i="10"/>
  <c r="AE117" i="10"/>
  <c r="AD117" i="10"/>
  <c r="AC117" i="10"/>
  <c r="AB117" i="10"/>
  <c r="AA117" i="10"/>
  <c r="AF114" i="10"/>
  <c r="AE114" i="10"/>
  <c r="AD114" i="10"/>
  <c r="AC114" i="10"/>
  <c r="AB114" i="10"/>
  <c r="AA114" i="10"/>
  <c r="AF111" i="10"/>
  <c r="AE111" i="10"/>
  <c r="AD111" i="10"/>
  <c r="AC111" i="10"/>
  <c r="AB111" i="10"/>
  <c r="AA111" i="10"/>
  <c r="E23" i="23" l="1"/>
  <c r="D5" i="22" s="1"/>
  <c r="F24" i="23"/>
  <c r="E6" i="22" s="1"/>
  <c r="D25" i="23"/>
  <c r="C7" i="22" s="1"/>
  <c r="E25" i="23"/>
  <c r="D7" i="22" s="1"/>
  <c r="F25" i="23"/>
  <c r="E7" i="22" s="1"/>
  <c r="E24" i="23"/>
  <c r="D6" i="22" s="1"/>
  <c r="E26" i="23"/>
  <c r="D8" i="22" s="1"/>
  <c r="Z111" i="10"/>
  <c r="Z105" i="10"/>
  <c r="F26" i="23"/>
  <c r="E8" i="22" s="1"/>
  <c r="Y111" i="10"/>
  <c r="Y105" i="10"/>
  <c r="D26" i="23"/>
  <c r="C8" i="22" s="1"/>
  <c r="X111" i="10"/>
  <c r="X105" i="10"/>
  <c r="F23" i="23"/>
  <c r="E5" i="22" s="1"/>
  <c r="C6" i="26"/>
  <c r="C36" i="26"/>
  <c r="D20" i="26"/>
  <c r="E20" i="26"/>
  <c r="C20" i="26"/>
  <c r="D6" i="26"/>
  <c r="F6" i="26" s="1"/>
  <c r="E6" i="26"/>
  <c r="Z108" i="10"/>
  <c r="Y108" i="10"/>
  <c r="X108" i="10"/>
  <c r="J100" i="23"/>
  <c r="K103" i="23"/>
  <c r="L100" i="23"/>
  <c r="M103" i="23"/>
  <c r="N100" i="23"/>
  <c r="O103" i="23"/>
  <c r="P100" i="23"/>
  <c r="J103" i="23"/>
  <c r="L103" i="23"/>
  <c r="N103" i="23"/>
  <c r="P103" i="23"/>
  <c r="J95" i="23"/>
  <c r="L95" i="23"/>
  <c r="M98" i="23"/>
  <c r="N95" i="23"/>
  <c r="O98" i="23"/>
  <c r="P95" i="23"/>
  <c r="J98" i="23"/>
  <c r="L98" i="23"/>
  <c r="N98" i="23"/>
  <c r="P98" i="23"/>
  <c r="J90" i="23"/>
  <c r="K93" i="23"/>
  <c r="L90" i="23"/>
  <c r="N90" i="23"/>
  <c r="O93" i="23"/>
  <c r="P90" i="23"/>
  <c r="J93" i="23"/>
  <c r="L93" i="23"/>
  <c r="N93" i="23"/>
  <c r="P93" i="23"/>
  <c r="J83" i="23"/>
  <c r="L83" i="23"/>
  <c r="M87" i="23"/>
  <c r="N83" i="23"/>
  <c r="O87" i="23"/>
  <c r="P83" i="23"/>
  <c r="J84" i="23"/>
  <c r="K88" i="23"/>
  <c r="L84" i="23"/>
  <c r="M88" i="23"/>
  <c r="N84" i="23"/>
  <c r="O88" i="23"/>
  <c r="P84" i="23"/>
  <c r="J87" i="23"/>
  <c r="L87" i="23"/>
  <c r="N87" i="23"/>
  <c r="P87" i="23"/>
  <c r="J88" i="23"/>
  <c r="L88" i="23"/>
  <c r="N88" i="23"/>
  <c r="P88" i="23"/>
  <c r="J78" i="23"/>
  <c r="L78" i="23"/>
  <c r="M81" i="23"/>
  <c r="N78" i="23"/>
  <c r="O81" i="23"/>
  <c r="P78" i="23"/>
  <c r="J81" i="23"/>
  <c r="L81" i="23"/>
  <c r="N81" i="23"/>
  <c r="P81" i="23"/>
  <c r="J73" i="23"/>
  <c r="K76" i="23"/>
  <c r="L73" i="23"/>
  <c r="M76" i="23"/>
  <c r="N73" i="23"/>
  <c r="O76" i="23"/>
  <c r="P73" i="23"/>
  <c r="J76" i="23"/>
  <c r="L76" i="23"/>
  <c r="N76" i="23"/>
  <c r="P76" i="23"/>
  <c r="J68" i="23"/>
  <c r="K71" i="23"/>
  <c r="L68" i="23"/>
  <c r="M71" i="23"/>
  <c r="N68" i="23"/>
  <c r="O71" i="23"/>
  <c r="P68" i="23"/>
  <c r="J71" i="23"/>
  <c r="L71" i="23"/>
  <c r="N71" i="23"/>
  <c r="P71" i="23"/>
  <c r="J63" i="23"/>
  <c r="L63" i="23"/>
  <c r="M66" i="23"/>
  <c r="N63" i="23"/>
  <c r="O66" i="23"/>
  <c r="P63" i="23"/>
  <c r="J66" i="23"/>
  <c r="L66" i="23"/>
  <c r="N66" i="23"/>
  <c r="P66" i="23"/>
  <c r="J56" i="23"/>
  <c r="L56" i="23"/>
  <c r="M60" i="23"/>
  <c r="N56" i="23"/>
  <c r="O60" i="23"/>
  <c r="P56" i="23"/>
  <c r="J57" i="23"/>
  <c r="L57" i="23"/>
  <c r="M61" i="23"/>
  <c r="N57" i="23"/>
  <c r="P57" i="23"/>
  <c r="J60" i="23"/>
  <c r="L60" i="23"/>
  <c r="N60" i="23"/>
  <c r="P60" i="23"/>
  <c r="J61" i="23"/>
  <c r="L61" i="23"/>
  <c r="N61" i="23"/>
  <c r="P61" i="23"/>
  <c r="E14" i="23"/>
  <c r="F14" i="23"/>
  <c r="C15" i="23"/>
  <c r="C17" i="23"/>
  <c r="D9" i="22" l="1"/>
  <c r="B8" i="22"/>
  <c r="F20" i="26"/>
  <c r="E9" i="22"/>
  <c r="B7" i="22"/>
  <c r="I103" i="23"/>
  <c r="C25" i="23"/>
  <c r="D24" i="23"/>
  <c r="K92" i="23"/>
  <c r="E22" i="23"/>
  <c r="C26" i="23"/>
  <c r="F22" i="23"/>
  <c r="D23" i="23"/>
  <c r="C5" i="22" s="1"/>
  <c r="K94" i="23"/>
  <c r="I100" i="23"/>
  <c r="I90" i="23"/>
  <c r="O102" i="23"/>
  <c r="M99" i="23"/>
  <c r="K102" i="23"/>
  <c r="K99" i="23"/>
  <c r="M102" i="23"/>
  <c r="K98" i="23"/>
  <c r="K97" i="23" s="1"/>
  <c r="O89" i="23"/>
  <c r="O99" i="23"/>
  <c r="O97" i="23"/>
  <c r="M97" i="23"/>
  <c r="I95" i="23"/>
  <c r="O94" i="23"/>
  <c r="M94" i="23"/>
  <c r="O92" i="23"/>
  <c r="M89" i="23"/>
  <c r="M93" i="23"/>
  <c r="I93" i="23" s="1"/>
  <c r="I83" i="23"/>
  <c r="K82" i="23"/>
  <c r="O86" i="23"/>
  <c r="I88" i="23"/>
  <c r="M86" i="23"/>
  <c r="I84" i="23"/>
  <c r="K87" i="23"/>
  <c r="I87" i="23" s="1"/>
  <c r="M82" i="23"/>
  <c r="O82" i="23"/>
  <c r="K77" i="23"/>
  <c r="K75" i="23"/>
  <c r="K81" i="23"/>
  <c r="I81" i="23" s="1"/>
  <c r="O80" i="23"/>
  <c r="M80" i="23"/>
  <c r="I78" i="23"/>
  <c r="I32" i="23" s="1"/>
  <c r="O77" i="23"/>
  <c r="M77" i="23"/>
  <c r="O75" i="23"/>
  <c r="M75" i="23"/>
  <c r="I76" i="23"/>
  <c r="K72" i="23"/>
  <c r="I73" i="23"/>
  <c r="O72" i="23"/>
  <c r="M72" i="23"/>
  <c r="O70" i="23"/>
  <c r="I71" i="23"/>
  <c r="M70" i="23"/>
  <c r="I68" i="23"/>
  <c r="O67" i="23"/>
  <c r="M67" i="23"/>
  <c r="K55" i="23"/>
  <c r="O65" i="23"/>
  <c r="M55" i="23"/>
  <c r="M65" i="23"/>
  <c r="I56" i="23"/>
  <c r="O55" i="23"/>
  <c r="K60" i="23"/>
  <c r="I60" i="23" s="1"/>
  <c r="O62" i="23"/>
  <c r="M62" i="23"/>
  <c r="O61" i="23"/>
  <c r="O59" i="23" s="1"/>
  <c r="I57" i="23"/>
  <c r="M59" i="23"/>
  <c r="I33" i="23" l="1"/>
  <c r="D14" i="23"/>
  <c r="C14" i="23" s="1"/>
  <c r="C16" i="23"/>
  <c r="B5" i="22"/>
  <c r="C24" i="23"/>
  <c r="C6" i="22"/>
  <c r="B6" i="22" s="1"/>
  <c r="I89" i="23"/>
  <c r="I99" i="23"/>
  <c r="I82" i="23"/>
  <c r="D22" i="23"/>
  <c r="C22" i="23" s="1"/>
  <c r="K89" i="23"/>
  <c r="I92" i="23"/>
  <c r="C23" i="23"/>
  <c r="I98" i="23"/>
  <c r="I97" i="23" s="1"/>
  <c r="I86" i="23"/>
  <c r="I102" i="23"/>
  <c r="I72" i="23"/>
  <c r="I61" i="23"/>
  <c r="I59" i="23" s="1"/>
  <c r="I77" i="23"/>
  <c r="I94" i="23"/>
  <c r="M92" i="23"/>
  <c r="I80" i="23"/>
  <c r="K86" i="23"/>
  <c r="I75" i="23"/>
  <c r="K80" i="23"/>
  <c r="K59" i="23"/>
  <c r="I55" i="23"/>
  <c r="C9" i="22" l="1"/>
  <c r="B9" i="22"/>
  <c r="Q94" i="24"/>
  <c r="P94" i="24" s="1"/>
  <c r="Q93" i="24"/>
  <c r="P93" i="24" s="1"/>
  <c r="Q92" i="24"/>
  <c r="P92" i="24" s="1"/>
  <c r="Q91" i="24"/>
  <c r="P91" i="24" s="1"/>
  <c r="Q90" i="24"/>
  <c r="P90" i="24" s="1"/>
  <c r="Q89" i="24"/>
  <c r="P89" i="24" s="1"/>
  <c r="Q88" i="24"/>
  <c r="P88" i="24" s="1"/>
  <c r="Q87" i="24"/>
  <c r="P87" i="24" s="1"/>
  <c r="Q86" i="24"/>
  <c r="P86" i="24" s="1"/>
  <c r="Q85" i="24"/>
  <c r="P85" i="24" s="1"/>
  <c r="Q84" i="24"/>
  <c r="P84" i="24" s="1"/>
  <c r="Q83" i="24"/>
  <c r="P83" i="24" s="1"/>
  <c r="Q82" i="24"/>
  <c r="P82" i="24" s="1"/>
  <c r="Q81" i="24"/>
  <c r="P81" i="24" s="1"/>
  <c r="Q80" i="24"/>
  <c r="P80" i="24" s="1"/>
  <c r="Q79" i="24"/>
  <c r="P79" i="24" s="1"/>
  <c r="Q78" i="24"/>
  <c r="P78" i="24" s="1"/>
  <c r="Q77" i="24"/>
  <c r="P77" i="24" s="1"/>
  <c r="Q76" i="24"/>
  <c r="P76" i="24" s="1"/>
  <c r="Q75" i="24"/>
  <c r="P75" i="24" s="1"/>
  <c r="Q74" i="24"/>
  <c r="P74" i="24" s="1"/>
  <c r="Q73" i="24"/>
  <c r="P73" i="24" s="1"/>
  <c r="Q72" i="24"/>
  <c r="P72" i="24" s="1"/>
  <c r="Q71" i="24"/>
  <c r="P71" i="24" s="1"/>
  <c r="Q70" i="24"/>
  <c r="P70" i="24" s="1"/>
  <c r="Q69" i="24"/>
  <c r="P69" i="24" s="1"/>
  <c r="Q68" i="24"/>
  <c r="P68" i="24" s="1"/>
  <c r="Q67" i="24"/>
  <c r="P67" i="24" s="1"/>
  <c r="Q66" i="24"/>
  <c r="P66" i="24" s="1"/>
  <c r="Q65" i="24"/>
  <c r="Q64" i="24"/>
  <c r="P64" i="24" s="1"/>
  <c r="Q63" i="24"/>
  <c r="P63" i="24" s="1"/>
  <c r="Q62" i="24"/>
  <c r="P62" i="24" s="1"/>
  <c r="Q61" i="24"/>
  <c r="P61" i="24" s="1"/>
  <c r="Q60" i="24"/>
  <c r="P60" i="24" s="1"/>
  <c r="Q59" i="24"/>
  <c r="P59" i="24" s="1"/>
  <c r="Q58" i="24"/>
  <c r="P58" i="24" s="1"/>
  <c r="Q57" i="24"/>
  <c r="P57" i="24" s="1"/>
  <c r="Q56" i="24"/>
  <c r="P56" i="24" s="1"/>
  <c r="Q55" i="24"/>
  <c r="P55" i="24" s="1"/>
  <c r="Q54" i="24"/>
  <c r="P54" i="24" s="1"/>
  <c r="Q53" i="24"/>
  <c r="P53" i="24" s="1"/>
  <c r="Q52" i="24"/>
  <c r="P52" i="24" s="1"/>
  <c r="Q51" i="24"/>
  <c r="P51" i="24" s="1"/>
  <c r="Q50" i="24"/>
  <c r="P50" i="24" s="1"/>
  <c r="Q49" i="24"/>
  <c r="P49" i="24" s="1"/>
  <c r="Q48" i="24"/>
  <c r="P48" i="24" s="1"/>
  <c r="Q47" i="24"/>
  <c r="P47" i="24" s="1"/>
  <c r="Q46" i="24"/>
  <c r="P46" i="24" s="1"/>
  <c r="Q45" i="24"/>
  <c r="P45" i="24" s="1"/>
  <c r="Q44" i="24"/>
  <c r="P44" i="24" s="1"/>
  <c r="Q43" i="24"/>
  <c r="P43" i="24" s="1"/>
  <c r="Q42" i="24"/>
  <c r="P42" i="24" s="1"/>
  <c r="Q41" i="24"/>
  <c r="P41" i="24" s="1"/>
  <c r="Q40" i="24"/>
  <c r="P40" i="24" s="1"/>
  <c r="Q38" i="24"/>
  <c r="P38" i="24" s="1"/>
  <c r="Q37" i="24"/>
  <c r="P37" i="24" s="1"/>
  <c r="Q36" i="24"/>
  <c r="P36" i="24" s="1"/>
  <c r="Q35" i="24"/>
  <c r="P35" i="24" s="1"/>
  <c r="C9" i="24"/>
  <c r="C7" i="24"/>
  <c r="R37" i="10"/>
  <c r="S37" i="10"/>
  <c r="T37" i="10"/>
  <c r="U37" i="10"/>
  <c r="V37" i="10"/>
  <c r="R38" i="10"/>
  <c r="V38" i="10"/>
  <c r="R39" i="10"/>
  <c r="T39" i="10"/>
  <c r="V39" i="10"/>
  <c r="R40" i="10"/>
  <c r="S40" i="10"/>
  <c r="T40" i="10"/>
  <c r="U40" i="10"/>
  <c r="V40" i="10"/>
  <c r="R41" i="10"/>
  <c r="S41" i="10"/>
  <c r="T41" i="10"/>
  <c r="U41" i="10"/>
  <c r="V41" i="10"/>
  <c r="R42" i="10"/>
  <c r="S42" i="10"/>
  <c r="T42" i="10"/>
  <c r="U42" i="10"/>
  <c r="V42" i="10"/>
  <c r="R44" i="10"/>
  <c r="S44" i="10"/>
  <c r="T44" i="10"/>
  <c r="U44" i="10"/>
  <c r="R46" i="10"/>
  <c r="S46" i="10"/>
  <c r="T46" i="10"/>
  <c r="U46" i="10"/>
  <c r="V46" i="10"/>
  <c r="R47" i="10"/>
  <c r="S47" i="10"/>
  <c r="T47" i="10"/>
  <c r="U47" i="10"/>
  <c r="V47" i="10"/>
  <c r="S49" i="10"/>
  <c r="T49" i="10"/>
  <c r="U49" i="10"/>
  <c r="V49" i="10"/>
  <c r="R51" i="10"/>
  <c r="S51" i="10"/>
  <c r="T51" i="10"/>
  <c r="U51" i="10"/>
  <c r="R52" i="10"/>
  <c r="S52" i="10"/>
  <c r="T52" i="10"/>
  <c r="U52" i="10"/>
  <c r="V52" i="10"/>
  <c r="R55" i="10"/>
  <c r="S55" i="10"/>
  <c r="T55" i="10"/>
  <c r="U55" i="10"/>
  <c r="S56" i="10"/>
  <c r="T56" i="10"/>
  <c r="U56" i="10"/>
  <c r="V56" i="10"/>
  <c r="R58" i="10"/>
  <c r="S58" i="10"/>
  <c r="T58" i="10"/>
  <c r="U58" i="10"/>
  <c r="V58" i="10"/>
  <c r="R62" i="10"/>
  <c r="R63" i="10"/>
  <c r="S63" i="10"/>
  <c r="T63" i="10"/>
  <c r="U63" i="10"/>
  <c r="V63" i="10"/>
  <c r="R64" i="10"/>
  <c r="S64" i="10"/>
  <c r="T64" i="10"/>
  <c r="U64" i="10"/>
  <c r="V64" i="10"/>
  <c r="S65" i="10"/>
  <c r="T65" i="10"/>
  <c r="U65" i="10"/>
  <c r="V65" i="10"/>
  <c r="R66" i="10"/>
  <c r="S66" i="10"/>
  <c r="T66" i="10"/>
  <c r="U66" i="10"/>
  <c r="V66" i="10"/>
  <c r="R67" i="10"/>
  <c r="C7" i="10" s="1"/>
  <c r="S67" i="10"/>
  <c r="D7" i="10" s="1"/>
  <c r="T67" i="10"/>
  <c r="E7" i="10" s="1"/>
  <c r="U67" i="10"/>
  <c r="V67" i="10"/>
  <c r="R68" i="10"/>
  <c r="S68" i="10"/>
  <c r="T68" i="10"/>
  <c r="U68" i="10"/>
  <c r="V68" i="10"/>
  <c r="R69" i="10"/>
  <c r="S69" i="10"/>
  <c r="T69" i="10"/>
  <c r="U69" i="10"/>
  <c r="V69" i="10"/>
  <c r="R72" i="10"/>
  <c r="S72" i="10"/>
  <c r="T72" i="10"/>
  <c r="U72" i="10"/>
  <c r="V72" i="10"/>
  <c r="R73" i="10"/>
  <c r="S73" i="10"/>
  <c r="T73" i="10"/>
  <c r="U73" i="10"/>
  <c r="V73" i="10"/>
  <c r="R74" i="10"/>
  <c r="S74" i="10"/>
  <c r="T74" i="10"/>
  <c r="U74" i="10"/>
  <c r="V74" i="10"/>
  <c r="R79" i="10"/>
  <c r="S79" i="10"/>
  <c r="T79" i="10"/>
  <c r="U79" i="10"/>
  <c r="V79" i="10"/>
  <c r="R80" i="10"/>
  <c r="S80" i="10"/>
  <c r="T80" i="10"/>
  <c r="U80" i="10"/>
  <c r="V80" i="10"/>
  <c r="R81" i="10"/>
  <c r="S81" i="10"/>
  <c r="T81" i="10"/>
  <c r="U81" i="10"/>
  <c r="V81" i="10"/>
  <c r="R82" i="10"/>
  <c r="S82" i="10"/>
  <c r="T82" i="10"/>
  <c r="U82" i="10"/>
  <c r="V82" i="10"/>
  <c r="R83" i="10"/>
  <c r="S83" i="10"/>
  <c r="T83" i="10"/>
  <c r="U83" i="10"/>
  <c r="V83" i="10"/>
  <c r="R84" i="10"/>
  <c r="S84" i="10"/>
  <c r="T84" i="10"/>
  <c r="U84" i="10"/>
  <c r="V84" i="10"/>
  <c r="R85" i="10"/>
  <c r="S85" i="10"/>
  <c r="T85" i="10"/>
  <c r="U85" i="10"/>
  <c r="V85" i="10"/>
  <c r="R86" i="10"/>
  <c r="S86" i="10"/>
  <c r="T86" i="10"/>
  <c r="U86" i="10"/>
  <c r="V86" i="10"/>
  <c r="R87" i="10"/>
  <c r="S87" i="10"/>
  <c r="T87" i="10"/>
  <c r="U87" i="10"/>
  <c r="V87" i="10"/>
  <c r="R88" i="10"/>
  <c r="S88" i="10"/>
  <c r="T88" i="10"/>
  <c r="U88" i="10"/>
  <c r="V88" i="10"/>
  <c r="R89" i="10"/>
  <c r="S89" i="10"/>
  <c r="T89" i="10"/>
  <c r="U89" i="10"/>
  <c r="V89" i="10"/>
  <c r="R90" i="10"/>
  <c r="S90" i="10"/>
  <c r="T90" i="10"/>
  <c r="U90" i="10"/>
  <c r="V90" i="10"/>
  <c r="R91" i="10"/>
  <c r="S91" i="10"/>
  <c r="T91" i="10"/>
  <c r="U91" i="10"/>
  <c r="V91" i="10"/>
  <c r="R92" i="10"/>
  <c r="S92" i="10"/>
  <c r="U92" i="10"/>
  <c r="V92" i="10"/>
  <c r="R103" i="10"/>
  <c r="S103" i="10"/>
  <c r="T103" i="10"/>
  <c r="U103" i="10"/>
  <c r="V103" i="10"/>
  <c r="R104" i="10"/>
  <c r="S104" i="10"/>
  <c r="T104" i="10"/>
  <c r="U104" i="10"/>
  <c r="V104" i="10"/>
  <c r="V35" i="10"/>
  <c r="U35" i="10"/>
  <c r="T35" i="10"/>
  <c r="S35" i="10"/>
  <c r="R35" i="10"/>
  <c r="V36" i="10"/>
  <c r="O51" i="23"/>
  <c r="O54" i="23" s="1"/>
  <c r="M51" i="23"/>
  <c r="M54" i="23" s="1"/>
  <c r="K51" i="23"/>
  <c r="K54" i="23" s="1"/>
  <c r="P54" i="23"/>
  <c r="N54" i="23"/>
  <c r="L54" i="23"/>
  <c r="J54" i="23"/>
  <c r="P51" i="23"/>
  <c r="N51" i="23"/>
  <c r="L51" i="23"/>
  <c r="J51" i="23"/>
  <c r="O46" i="23"/>
  <c r="O49" i="23" s="1"/>
  <c r="M46" i="23"/>
  <c r="M49" i="23" s="1"/>
  <c r="K46" i="23"/>
  <c r="K49" i="23" s="1"/>
  <c r="P49" i="23"/>
  <c r="N49" i="23"/>
  <c r="L49" i="23"/>
  <c r="J49" i="23"/>
  <c r="P46" i="23"/>
  <c r="N46" i="23"/>
  <c r="L46" i="23"/>
  <c r="J46" i="23"/>
  <c r="O41" i="23"/>
  <c r="O44" i="23" s="1"/>
  <c r="M41" i="23"/>
  <c r="M44" i="23" s="1"/>
  <c r="K41" i="23"/>
  <c r="K44" i="23" s="1"/>
  <c r="P44" i="23"/>
  <c r="N44" i="23"/>
  <c r="L44" i="23"/>
  <c r="J44" i="23"/>
  <c r="P41" i="23"/>
  <c r="N41" i="23"/>
  <c r="L41" i="23"/>
  <c r="J41" i="23"/>
  <c r="P39" i="23"/>
  <c r="N39" i="23"/>
  <c r="O36" i="23"/>
  <c r="M36" i="23"/>
  <c r="K36" i="23"/>
  <c r="P36" i="23"/>
  <c r="N36" i="23"/>
  <c r="L39" i="23"/>
  <c r="J39" i="23"/>
  <c r="L36" i="23"/>
  <c r="J36" i="23"/>
  <c r="P34" i="23"/>
  <c r="P33" i="23"/>
  <c r="P32" i="23"/>
  <c r="C40" i="23"/>
  <c r="D40" i="23"/>
  <c r="E40" i="23"/>
  <c r="F40" i="23"/>
  <c r="G40" i="23" a="1"/>
  <c r="G40" i="23" s="1"/>
  <c r="H40" i="23" a="1"/>
  <c r="H40" i="23" s="1"/>
  <c r="C45" i="23"/>
  <c r="D45" i="23"/>
  <c r="E45" i="23"/>
  <c r="F45" i="23"/>
  <c r="G45" i="23" a="1"/>
  <c r="G45" i="23" s="1"/>
  <c r="H45" i="23" a="1"/>
  <c r="H45" i="23" s="1"/>
  <c r="C50" i="23"/>
  <c r="D50" i="23"/>
  <c r="E50" i="23"/>
  <c r="F50" i="23"/>
  <c r="G50" i="23" a="1"/>
  <c r="G50" i="23" s="1"/>
  <c r="H50" i="23" a="1"/>
  <c r="H50" i="23" s="1"/>
  <c r="C55" i="23"/>
  <c r="D55" i="23"/>
  <c r="E55" i="23"/>
  <c r="F55" i="23"/>
  <c r="G55" i="23" a="1"/>
  <c r="G55" i="23" s="1"/>
  <c r="H55" i="23" a="1"/>
  <c r="H55" i="23" s="1"/>
  <c r="C62" i="23"/>
  <c r="D62" i="23"/>
  <c r="E62" i="23"/>
  <c r="F62" i="23"/>
  <c r="G62" i="23" a="1"/>
  <c r="G62" i="23" s="1"/>
  <c r="H62" i="23" a="1"/>
  <c r="H62" i="23" s="1"/>
  <c r="C67" i="23"/>
  <c r="D67" i="23"/>
  <c r="E67" i="23"/>
  <c r="F67" i="23"/>
  <c r="G67" i="23" a="1"/>
  <c r="G67" i="23" s="1"/>
  <c r="H67" i="23" a="1"/>
  <c r="H67" i="23" s="1"/>
  <c r="C72" i="23"/>
  <c r="D72" i="23"/>
  <c r="E72" i="23"/>
  <c r="F72" i="23"/>
  <c r="G72" i="23" a="1"/>
  <c r="G72" i="23" s="1"/>
  <c r="H72" i="23" a="1"/>
  <c r="H72" i="23" s="1"/>
  <c r="C77" i="23"/>
  <c r="D77" i="23"/>
  <c r="E77" i="23"/>
  <c r="F77" i="23"/>
  <c r="G77" i="23" a="1"/>
  <c r="G77" i="23" s="1"/>
  <c r="H77" i="23" a="1"/>
  <c r="H77" i="23" s="1"/>
  <c r="C82" i="23"/>
  <c r="D82" i="23"/>
  <c r="E82" i="23"/>
  <c r="F82" i="23"/>
  <c r="G82" i="23" a="1"/>
  <c r="G82" i="23" s="1"/>
  <c r="H82" i="23" a="1"/>
  <c r="H82" i="23" s="1"/>
  <c r="C89" i="23"/>
  <c r="D89" i="23"/>
  <c r="E89" i="23"/>
  <c r="F89" i="23"/>
  <c r="G89" i="23" a="1"/>
  <c r="G89" i="23" s="1"/>
  <c r="H89" i="23" a="1"/>
  <c r="H89" i="23" s="1"/>
  <c r="C94" i="23"/>
  <c r="D94" i="23"/>
  <c r="E94" i="23"/>
  <c r="F94" i="23"/>
  <c r="G94" i="23" a="1"/>
  <c r="G94" i="23" s="1"/>
  <c r="H94" i="23" a="1"/>
  <c r="H94" i="23" s="1"/>
  <c r="C99" i="23"/>
  <c r="D99" i="23"/>
  <c r="E99" i="23"/>
  <c r="F99" i="23"/>
  <c r="G99" i="23" a="1"/>
  <c r="G99" i="23" s="1"/>
  <c r="H99" i="23" a="1"/>
  <c r="H99" i="23" s="1"/>
  <c r="C104" i="23"/>
  <c r="D104" i="23"/>
  <c r="E104" i="23"/>
  <c r="F104" i="23"/>
  <c r="G104" i="23" a="1"/>
  <c r="G104" i="23" s="1"/>
  <c r="H104" i="23" a="1"/>
  <c r="H104" i="23" s="1"/>
  <c r="C109" i="23"/>
  <c r="D109" i="23"/>
  <c r="E109" i="23"/>
  <c r="F109" i="23"/>
  <c r="G109" i="23" a="1"/>
  <c r="G109" i="23" s="1"/>
  <c r="H109" i="23" a="1"/>
  <c r="H109" i="23" s="1"/>
  <c r="C116" i="23"/>
  <c r="D116" i="23"/>
  <c r="E116" i="23"/>
  <c r="F116" i="23"/>
  <c r="G116" i="23" a="1"/>
  <c r="G116" i="23" s="1"/>
  <c r="H116" i="23" a="1"/>
  <c r="H116" i="23" s="1"/>
  <c r="C121" i="23"/>
  <c r="D121" i="23"/>
  <c r="E121" i="23"/>
  <c r="F121" i="23"/>
  <c r="G121" i="23" a="1"/>
  <c r="G121" i="23" s="1"/>
  <c r="H121" i="23" a="1"/>
  <c r="H121" i="23" s="1"/>
  <c r="C149" i="23"/>
  <c r="D149" i="23"/>
  <c r="E149" i="23"/>
  <c r="F149" i="23"/>
  <c r="G149" i="23" a="1"/>
  <c r="G149" i="23" s="1"/>
  <c r="H149" i="23" a="1"/>
  <c r="H149" i="23" s="1"/>
  <c r="C156" i="23"/>
  <c r="D156" i="23"/>
  <c r="E156" i="23"/>
  <c r="F156" i="23"/>
  <c r="G156" i="23" a="1"/>
  <c r="G156" i="23" s="1"/>
  <c r="H156" i="23" a="1"/>
  <c r="H156" i="23" s="1"/>
  <c r="C161" i="23"/>
  <c r="D161" i="23"/>
  <c r="E161" i="23"/>
  <c r="F161" i="23"/>
  <c r="G161" i="23" a="1"/>
  <c r="G161" i="23" s="1"/>
  <c r="H161" i="23" a="1"/>
  <c r="H161" i="23" s="1"/>
  <c r="C166" i="23"/>
  <c r="D166" i="23"/>
  <c r="E166" i="23"/>
  <c r="F166" i="23"/>
  <c r="G166" i="23" a="1"/>
  <c r="G166" i="23" s="1"/>
  <c r="H166" i="23" a="1"/>
  <c r="H166" i="23" s="1"/>
  <c r="C171" i="23"/>
  <c r="D171" i="23"/>
  <c r="E171" i="23"/>
  <c r="F171" i="23"/>
  <c r="G171" i="23" a="1"/>
  <c r="G171" i="23" s="1"/>
  <c r="H171" i="23" a="1"/>
  <c r="H171" i="23" s="1"/>
  <c r="C178" i="23"/>
  <c r="D178" i="23"/>
  <c r="F178" i="23"/>
  <c r="D183" i="23"/>
  <c r="E183" i="23"/>
  <c r="F183" i="23"/>
  <c r="G183" i="23" a="1"/>
  <c r="G183" i="23" s="1"/>
  <c r="H183" i="23" a="1"/>
  <c r="H183" i="23" s="1"/>
  <c r="C192" i="23"/>
  <c r="D192" i="23"/>
  <c r="E192" i="23"/>
  <c r="F192" i="23"/>
  <c r="G192" i="23" a="1"/>
  <c r="G192" i="23" s="1"/>
  <c r="H192" i="23" a="1"/>
  <c r="H192" i="23" s="1"/>
  <c r="C197" i="23"/>
  <c r="D197" i="23"/>
  <c r="E197" i="23"/>
  <c r="F197" i="23"/>
  <c r="H197" i="23" a="1"/>
  <c r="H197" i="23" s="1"/>
  <c r="C202" i="23"/>
  <c r="D202" i="23"/>
  <c r="E202" i="23"/>
  <c r="F202" i="23"/>
  <c r="G202" i="23" a="1"/>
  <c r="G202" i="23" s="1"/>
  <c r="H202" i="23" a="1"/>
  <c r="H202" i="23" s="1"/>
  <c r="C207" i="23"/>
  <c r="D207" i="23"/>
  <c r="E207" i="23"/>
  <c r="F207" i="23"/>
  <c r="G207" i="23" a="1"/>
  <c r="G207" i="23" s="1"/>
  <c r="H207" i="23" a="1"/>
  <c r="H207" i="23" s="1"/>
  <c r="C212" i="23"/>
  <c r="E212" i="23"/>
  <c r="F212" i="23"/>
  <c r="G212" i="23" a="1"/>
  <c r="G212" i="23" s="1"/>
  <c r="H212" i="23" a="1"/>
  <c r="H212" i="23" s="1"/>
  <c r="R36" i="10"/>
  <c r="S36" i="10"/>
  <c r="T36" i="10"/>
  <c r="U36" i="10"/>
  <c r="H35" i="23" a="1"/>
  <c r="H35" i="23" s="1"/>
  <c r="F35" i="23"/>
  <c r="D35" i="23"/>
  <c r="C35" i="23"/>
  <c r="N34" i="23"/>
  <c r="L34" i="23"/>
  <c r="J34" i="23"/>
  <c r="N33" i="23"/>
  <c r="L33" i="23"/>
  <c r="J33" i="23"/>
  <c r="N32" i="23"/>
  <c r="L32" i="23"/>
  <c r="J32" i="23"/>
  <c r="C19" i="22"/>
  <c r="D19" i="22"/>
  <c r="E19" i="22"/>
  <c r="F19" i="22"/>
  <c r="G19" i="22"/>
  <c r="H19" i="22"/>
  <c r="I19" i="22"/>
  <c r="C16" i="22"/>
  <c r="D16" i="22"/>
  <c r="E16" i="22"/>
  <c r="F16" i="22"/>
  <c r="G16" i="22"/>
  <c r="H16" i="22"/>
  <c r="I16" i="22"/>
  <c r="B16" i="22"/>
  <c r="C13" i="22"/>
  <c r="D13" i="22"/>
  <c r="E13" i="22"/>
  <c r="F13" i="22"/>
  <c r="G13" i="22"/>
  <c r="H13" i="22"/>
  <c r="I13" i="22"/>
  <c r="B13" i="22"/>
  <c r="M34" i="23" l="1"/>
  <c r="O34" i="23"/>
  <c r="K39" i="23"/>
  <c r="K34" i="23"/>
  <c r="E6" i="10"/>
  <c r="Q104" i="10"/>
  <c r="Q103" i="10"/>
  <c r="Q87" i="10"/>
  <c r="Q85" i="10"/>
  <c r="Q79" i="10"/>
  <c r="Q69" i="10"/>
  <c r="Q67" i="10"/>
  <c r="Q64" i="10"/>
  <c r="Q52" i="10"/>
  <c r="Q46" i="10"/>
  <c r="Q42" i="10"/>
  <c r="Q35" i="10"/>
  <c r="Q36" i="10"/>
  <c r="Q92" i="10"/>
  <c r="Q84" i="10"/>
  <c r="Q66" i="10"/>
  <c r="Q90" i="10"/>
  <c r="Q82" i="10"/>
  <c r="Q74" i="10"/>
  <c r="Q47" i="10"/>
  <c r="Q40" i="10"/>
  <c r="Q88" i="10"/>
  <c r="Q80" i="10"/>
  <c r="Q72" i="10"/>
  <c r="Q58" i="10"/>
  <c r="Q91" i="10"/>
  <c r="Q83" i="10"/>
  <c r="Q86" i="10"/>
  <c r="Q68" i="10"/>
  <c r="Q63" i="10"/>
  <c r="Q41" i="10"/>
  <c r="Q37" i="10"/>
  <c r="Q89" i="10"/>
  <c r="Q81" i="10"/>
  <c r="Q73" i="10"/>
  <c r="C8" i="24"/>
  <c r="B8" i="24" s="1"/>
  <c r="P65" i="24"/>
  <c r="D12" i="24"/>
  <c r="M39" i="23"/>
  <c r="M43" i="23"/>
  <c r="I36" i="23"/>
  <c r="B7" i="24"/>
  <c r="B9" i="24"/>
  <c r="C13" i="24"/>
  <c r="C6" i="24"/>
  <c r="C10" i="24"/>
  <c r="K40" i="23"/>
  <c r="M45" i="23"/>
  <c r="O40" i="23"/>
  <c r="I51" i="23"/>
  <c r="I54" i="23"/>
  <c r="K53" i="23"/>
  <c r="K50" i="23"/>
  <c r="I49" i="23"/>
  <c r="M48" i="23"/>
  <c r="I46" i="23"/>
  <c r="O45" i="23"/>
  <c r="K45" i="23"/>
  <c r="I41" i="23"/>
  <c r="I44" i="23"/>
  <c r="M40" i="23"/>
  <c r="K35" i="23"/>
  <c r="O35" i="23"/>
  <c r="O39" i="23"/>
  <c r="M35" i="23"/>
  <c r="C5" i="24" l="1"/>
  <c r="D5" i="24"/>
  <c r="M38" i="23"/>
  <c r="I39" i="23"/>
  <c r="I35" i="23"/>
  <c r="B10" i="24"/>
  <c r="K31" i="23"/>
  <c r="B6" i="24"/>
  <c r="B13" i="24"/>
  <c r="O43" i="23"/>
  <c r="K38" i="23"/>
  <c r="O48" i="23"/>
  <c r="O38" i="23"/>
  <c r="I45" i="23"/>
  <c r="K48" i="23"/>
  <c r="I48" i="23"/>
  <c r="I40" i="23"/>
  <c r="K43" i="23"/>
  <c r="I43" i="23"/>
  <c r="S43" i="10"/>
  <c r="T43" i="10"/>
  <c r="U43" i="10"/>
  <c r="V43" i="10"/>
  <c r="V55" i="10"/>
  <c r="Q55" i="10" s="1"/>
  <c r="T62" i="10"/>
  <c r="U62" i="10"/>
  <c r="V62" i="10"/>
  <c r="S62" i="10"/>
  <c r="S60" i="10"/>
  <c r="T60" i="10"/>
  <c r="U60" i="10"/>
  <c r="V60" i="10"/>
  <c r="S48" i="10"/>
  <c r="S53" i="10"/>
  <c r="D11" i="10"/>
  <c r="R70" i="10"/>
  <c r="C11" i="10"/>
  <c r="V50" i="10"/>
  <c r="T53" i="10"/>
  <c r="U53" i="10"/>
  <c r="V53" i="10"/>
  <c r="T48" i="10"/>
  <c r="U48" i="10"/>
  <c r="V48" i="10"/>
  <c r="V70" i="10"/>
  <c r="E11" i="10"/>
  <c r="D9" i="10"/>
  <c r="C9" i="10"/>
  <c r="R48" i="10"/>
  <c r="T70" i="10"/>
  <c r="T59" i="10"/>
  <c r="T61" i="10"/>
  <c r="S70" i="10"/>
  <c r="D13" i="10" s="1"/>
  <c r="R57" i="10"/>
  <c r="R59" i="10"/>
  <c r="S61" i="10"/>
  <c r="R61" i="10"/>
  <c r="S57" i="10"/>
  <c r="V44" i="10"/>
  <c r="Q44" i="10" s="1"/>
  <c r="U39" i="10"/>
  <c r="Q39" i="10" s="1"/>
  <c r="V51" i="10"/>
  <c r="Q51" i="10" s="1"/>
  <c r="S59" i="10"/>
  <c r="T45" i="10"/>
  <c r="U38" i="10"/>
  <c r="R50" i="10"/>
  <c r="U59" i="10"/>
  <c r="Q62" i="10" l="1"/>
  <c r="E5" i="10"/>
  <c r="B11" i="10"/>
  <c r="B5" i="24"/>
  <c r="D4" i="24"/>
  <c r="Q48" i="10"/>
  <c r="I38" i="23"/>
  <c r="R65" i="10"/>
  <c r="Q65" i="10" s="1"/>
  <c r="K66" i="23"/>
  <c r="I66" i="23" s="1"/>
  <c r="I63" i="23"/>
  <c r="I34" i="23" s="1"/>
  <c r="R49" i="10"/>
  <c r="O31" i="23"/>
  <c r="T38" i="10"/>
  <c r="M31" i="23"/>
  <c r="S38" i="10"/>
  <c r="D6" i="10"/>
  <c r="B9" i="10"/>
  <c r="B8" i="10"/>
  <c r="R53" i="10"/>
  <c r="U70" i="10"/>
  <c r="Q70" i="10" s="1"/>
  <c r="I4" i="10" s="1"/>
  <c r="Q53" i="10" l="1"/>
  <c r="B10" i="10"/>
  <c r="Q49" i="10"/>
  <c r="Q38" i="10"/>
  <c r="B7" i="10"/>
  <c r="D5" i="10"/>
  <c r="I67" i="23"/>
  <c r="K67" i="23"/>
  <c r="M50" i="23"/>
  <c r="O50" i="23"/>
  <c r="O53" i="23"/>
  <c r="S50" i="10"/>
  <c r="R43" i="10"/>
  <c r="R60" i="10"/>
  <c r="Q60" i="10" s="1"/>
  <c r="R45" i="10"/>
  <c r="Q43" i="10" l="1"/>
  <c r="C14" i="10"/>
  <c r="I50" i="23"/>
  <c r="I70" i="23"/>
  <c r="K70" i="23"/>
  <c r="M53" i="23"/>
  <c r="I53" i="23"/>
  <c r="T57" i="10"/>
  <c r="E13" i="10" s="1"/>
  <c r="V61" i="10"/>
  <c r="S45" i="10"/>
  <c r="D14" i="10" s="1"/>
  <c r="U61" i="10"/>
  <c r="T50" i="10"/>
  <c r="E14" i="10" s="1"/>
  <c r="V59" i="10"/>
  <c r="Q59" i="10" s="1"/>
  <c r="Q61" i="10" l="1"/>
  <c r="J4" i="10" s="1"/>
  <c r="E12" i="10"/>
  <c r="E4" i="10" s="1"/>
  <c r="U45" i="10"/>
  <c r="D12" i="10"/>
  <c r="D4" i="10" s="1"/>
  <c r="U57" i="10"/>
  <c r="U50" i="10"/>
  <c r="Q50" i="10" s="1"/>
  <c r="V45" i="10"/>
  <c r="Q45" i="10" l="1"/>
  <c r="H4" i="10" s="1"/>
  <c r="R56" i="10"/>
  <c r="C13" i="10" s="1"/>
  <c r="B14" i="10"/>
  <c r="V57" i="10"/>
  <c r="Q57" i="10" s="1"/>
  <c r="C6" i="10"/>
  <c r="Q56" i="10" l="1"/>
  <c r="B13" i="10"/>
  <c r="K4" i="10"/>
  <c r="B6" i="10"/>
  <c r="C5" i="10"/>
  <c r="B5" i="10" s="1"/>
  <c r="K62" i="23"/>
  <c r="C12" i="10" l="1"/>
  <c r="B12" i="10" s="1"/>
  <c r="I62" i="23"/>
  <c r="I31" i="23"/>
  <c r="I65" i="23"/>
  <c r="K65" i="23"/>
  <c r="G4" i="10"/>
  <c r="C4" i="10" l="1"/>
  <c r="B4" i="10" s="1"/>
  <c r="Q39" i="24"/>
  <c r="P39" i="24" s="1"/>
  <c r="C14" i="24"/>
  <c r="C12" i="24" s="1"/>
  <c r="B12" i="24" l="1"/>
  <c r="C4" i="24"/>
  <c r="B4" i="24" s="1"/>
  <c r="B14"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Margo Keerme</author>
    <author>Monika Karu - MKM</author>
  </authors>
  <commentList>
    <comment ref="B6" authorId="0" shapeId="0" xr:uid="{6E7E33FE-4C6E-4A50-BDE2-FC08529B893A}">
      <text>
        <r>
          <rPr>
            <b/>
            <sz val="9"/>
            <color indexed="81"/>
            <rFont val="Segoe UI"/>
            <family val="2"/>
            <charset val="186"/>
          </rPr>
          <t>Margo Keerme:</t>
        </r>
        <r>
          <rPr>
            <sz val="9"/>
            <color indexed="81"/>
            <rFont val="Segoe UI"/>
            <family val="2"/>
            <charset val="186"/>
          </rPr>
          <t xml:space="preserve">
Siin kajastada Digipöörde, kui terviku eesmärki.</t>
        </r>
      </text>
    </comment>
    <comment ref="B9" authorId="0" shapeId="0" xr:uid="{06F42116-DB42-496C-B1B9-7E8A6B63D09D}">
      <text>
        <r>
          <rPr>
            <b/>
            <sz val="9"/>
            <color indexed="81"/>
            <rFont val="Segoe UI"/>
            <family val="2"/>
            <charset val="186"/>
          </rPr>
          <t>Margo Keerme:</t>
        </r>
        <r>
          <rPr>
            <sz val="9"/>
            <color indexed="81"/>
            <rFont val="Segoe UI"/>
            <family val="2"/>
            <charset val="186"/>
          </rPr>
          <t xml:space="preserve">
Siin kajastada Digipöörde tegevuskava (18-24 kuud) eesmärki.</t>
        </r>
      </text>
    </comment>
    <comment ref="B166" authorId="1" shapeId="0" xr:uid="{BF739677-F921-48F0-9447-ED555F7E9E8E}">
      <text>
        <r>
          <rPr>
            <sz val="11"/>
            <color theme="1"/>
            <rFont val="Calibri"/>
            <family val="2"/>
            <charset val="186"/>
            <scheme val="minor"/>
          </rPr>
          <t>Monika Karu - MKM:
See lahter tühi, sh on lahtris erinevad lähenemised: 1) MKM 2) Majandus- ja Kommunikatsiooniministeerium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<sst xmlns="http://schemas.openxmlformats.org/spreadsheetml/2006/main" count="2315" uniqueCount="864">
  <si>
    <t>Valdkondlik digipööre</t>
  </si>
  <si>
    <t xml:space="preserve">Elluviija: </t>
  </si>
  <si>
    <t>Majandus-ja Kommunikatsiooniministeerium</t>
  </si>
  <si>
    <t>Valdkondliku digipöörde maksumus kokku (2023-2028) meetme nelja tegevuse lõikes, arvestdes kõiki rahasutsallikaid.</t>
  </si>
  <si>
    <t>Eelarve:</t>
  </si>
  <si>
    <t>Kokku
2023-2025</t>
  </si>
  <si>
    <t>Kokku:</t>
  </si>
  <si>
    <t>1. Infotehnoloogiliste lahenduste väljatöötamine ja arendamine</t>
  </si>
  <si>
    <t>2. küberruumi hoidmine, arendamine ja juurutamine usaldusväärse ja turvalisena</t>
  </si>
  <si>
    <t>3. Teadlikkuse tõstmine</t>
  </si>
  <si>
    <t>4. muu digipöördega seotud otsene kulu</t>
  </si>
  <si>
    <t>KOKKU:</t>
  </si>
  <si>
    <t>Digipöörde olemasolevad rahalised vahedid</t>
  </si>
  <si>
    <t>sh baaseelarve</t>
  </si>
  <si>
    <t>sh muu rahastus</t>
  </si>
  <si>
    <t>sh reserv (SR)</t>
  </si>
  <si>
    <t>sh RRF</t>
  </si>
  <si>
    <t>sh SF 14-20 (töös olev projekt)</t>
  </si>
  <si>
    <t>RRF</t>
  </si>
  <si>
    <t>Digipöörde puuduolevad rahalised vahendid</t>
  </si>
  <si>
    <t>sh RES IKT (vaja juurde taotleda)</t>
  </si>
  <si>
    <t>Puudu olev lisavajadus riigieelarvest, vajadus taotleda RES protsessis.</t>
  </si>
  <si>
    <t>sh SF 21-27 (taotletav raha)</t>
  </si>
  <si>
    <t>Puudu olev lisavajadus SF-st, SF 21-27 valdkondlike digipöörete toetusskeemist.</t>
  </si>
  <si>
    <t>NB! Mõõdikud tuleb täita ainult SF 2021-2027 rahastuse puhul.</t>
  </si>
  <si>
    <t>Meetmete nimekirja tulemusnäitaja:</t>
  </si>
  <si>
    <t>Uute ja uuendatud avalike digiteenuste, -toodete ja -protsesside kasutajad. Mõõtühik: lõppkasutajaid aastas.</t>
  </si>
  <si>
    <t>Elluviija kommentaar</t>
  </si>
  <si>
    <t>Käskkirjas välja toodud elluviijate peale kokku on mõõdiku 2029 sihttase 2 000 000. Välja tuua, milline on teie panus selle mõõdiku täitmisse.</t>
  </si>
  <si>
    <t>Periood</t>
  </si>
  <si>
    <t>2023 algtase</t>
  </si>
  <si>
    <t>2024 sihttase</t>
  </si>
  <si>
    <t>2025 sihttase</t>
  </si>
  <si>
    <t>2026 sihttase</t>
  </si>
  <si>
    <t>2027 sihttase</t>
  </si>
  <si>
    <t>2028 sihttase</t>
  </si>
  <si>
    <t>2029 sihttase</t>
  </si>
  <si>
    <t>2030 lõpptase</t>
  </si>
  <si>
    <t>Väärtus</t>
  </si>
  <si>
    <t>Arvestatud on TTJA kasutajate arvu, mitte kasutusjuhtusid.</t>
  </si>
  <si>
    <t>Sisestada tuleb täisarv.</t>
  </si>
  <si>
    <t>Meetmete nimekirja väljundnäitaja:</t>
  </si>
  <si>
    <t xml:space="preserve">Uued või uuendatud digiteenused, -tooted ja -protsessid. Mõõtühik: arv </t>
  </si>
  <si>
    <t>Käskkirjas välja toodud elluviijate peale kokku on mõõdiku 2029 sihttase 35. Välja tuua, milline on teie panus selle mõõdiku täitmisse.
Siia tuleb kokku lugeda lõpule viidud uued või uuendatud digiteenused, - tooted ja -protsessid.</t>
  </si>
  <si>
    <t>Teenuste arv võib muutuda kuna TTJA teenuste portfell ei ole veel lõplikult kokku lepitud.</t>
  </si>
  <si>
    <t>Kasutuskordade kokku lugemise metoodika määrab elluviija ise arvestades oma valdkonda. Sisestada tuleb täisarv.</t>
  </si>
  <si>
    <t>Avaliku sektori asutused, keda toetatakse digiteenuste, -toodete ja -protsesside väljatöötamiseks. Mõõtühik: Avaliku sektori asutused.</t>
  </si>
  <si>
    <t xml:space="preserve">Käskkirjas välja toodud elluviijate peale kokku on mõõdiku 2029 sihttase 35. Välja tuua, milline on teie panus selle mõõdiku täitmisse.
Siia tuleb kokku lugeda asutused, kes teie digipöörde raames SF toetust kasutavad (elluviija ja partnerid).
</t>
  </si>
  <si>
    <t xml:space="preserve">MKMi valitsemisala asutused ning seotud IT asutused, kes digipöörde suundadega (teenused, andmed, arhitektuur, küberturvalisus, kestlikkus, oskused) tegelevad.
</t>
  </si>
  <si>
    <t>Tükkide kokku lugemise metoodika määrab elluviija ise arvestades oma valdkonda. Sisestada tuleb täisarv.</t>
  </si>
  <si>
    <t>Projektispetsiifiline näitaja (Eesti digiühiskonna arengukava 2030 (DA 2030) mõõdik):</t>
  </si>
  <si>
    <t xml:space="preserve">Avalike digiteenustega rahulolu. Mõõtühik: % </t>
  </si>
  <si>
    <t>Riigiüleselt avalike digiteenustega rahululu peab 2030. aastaks tõusma 90%-le. Välja tuua, milline on teie panus selle mõõdiku täitmisse.</t>
  </si>
  <si>
    <t>Metoodikat ja mõõtmist hakatakse TTJA teenustele 2024 välja töötama.</t>
  </si>
  <si>
    <t>Rahulolu kokku lugemise metoodika määrab elluviija ise arvestades oma valdkonda</t>
  </si>
  <si>
    <t>NB! Kõik summad kajastada ilma käibemaksuta!</t>
  </si>
  <si>
    <t>Elluviija/ministeerium</t>
  </si>
  <si>
    <t>Struktuuriüksus</t>
  </si>
  <si>
    <t>Partner/Asutus</t>
  </si>
  <si>
    <t>Teenuse vastutaja</t>
  </si>
  <si>
    <t>DÜAK plokk</t>
  </si>
  <si>
    <t>Panus arengukava suunda</t>
  </si>
  <si>
    <t>Meetme toetatav tegevus</t>
  </si>
  <si>
    <t>TERE teenus</t>
  </si>
  <si>
    <t>Probleem</t>
  </si>
  <si>
    <t>Tegevuse (algatuse) nimi</t>
  </si>
  <si>
    <t>Tulemus</t>
  </si>
  <si>
    <t>Otsus</t>
  </si>
  <si>
    <t>Valdkonna prioriteet</t>
  </si>
  <si>
    <t>Slaid/allikas</t>
  </si>
  <si>
    <t>Paneeli vajadus</t>
  </si>
  <si>
    <t>Rahastuse allikas</t>
  </si>
  <si>
    <t>Summa kokku</t>
  </si>
  <si>
    <r>
      <t xml:space="preserve">2023
</t>
    </r>
    <r>
      <rPr>
        <sz val="11"/>
        <color theme="1"/>
        <rFont val="Calibri"/>
        <family val="2"/>
        <charset val="186"/>
        <scheme val="minor"/>
      </rPr>
      <t>(Kasutusse võetud vahendid, ehk kohustustega / lepingutega kaetud)</t>
    </r>
  </si>
  <si>
    <r>
      <t xml:space="preserve">Kalkulatsioon ja  allika põhjendus
</t>
    </r>
    <r>
      <rPr>
        <sz val="11"/>
        <color theme="1"/>
        <rFont val="Calibri"/>
        <family val="2"/>
        <charset val="186"/>
        <scheme val="minor"/>
      </rPr>
      <t>Võimalusel kirjeldada siin lahtris, kui on põhjalikum tabeli kujul kalkulatsioon, siis see tuua välja eraldi Exceli lehel ja siin vastava rea lahtris sellele viidata.</t>
    </r>
  </si>
  <si>
    <t>Tegevuse jätkusuutlikkuse kulu</t>
  </si>
  <si>
    <t xml:space="preserve">Kommentaar
</t>
  </si>
  <si>
    <t>RES lisavajaduste grupid</t>
  </si>
  <si>
    <t>RES lisavajaduste kestvus</t>
  </si>
  <si>
    <t>Punkt 5.3.1.
„Toetuse andmise tingimused valdkondlike
digipöörete toetamiseks“</t>
  </si>
  <si>
    <t>Punkt 5.6.
„Toetuse andmise tingimused valdkondlike
digipöörete toetamiseks“</t>
  </si>
  <si>
    <t>Partner/asutus, kelle eelarvest algatusi teostatakse
Punkt 5.6.
„Toetuse andmise tingimused valdkondlike
digipöörete toetamiseks“</t>
  </si>
  <si>
    <t>Vastutav teenuseomanik/
projektijuht</t>
  </si>
  <si>
    <t>(valida rippmenüüst)</t>
  </si>
  <si>
    <t>(valida rippmenüüst, SF TAT käskkirja punkt 3.1. neli tegevust)</t>
  </si>
  <si>
    <t>Kirjutada välja TERE teenuse nimetus</t>
  </si>
  <si>
    <t>Täita kõikide ridade puhul</t>
  </si>
  <si>
    <t>Täita kõikide ridade puhul
(Kui tegmist jätkusuutlikkuse tagamise tegevusega, siis see nimes välja tuua.)</t>
  </si>
  <si>
    <t xml:space="preserve">Täita kõikide ridade puhul.
Kui mitme aastane tegevus/projekt, siis kirjutada välja vähemalt 2023. aasta tulemus ja lõpptulemus.
RES lisavajadustel tuua välja, mida mingi aasta RES rahade eest ära tehakse. Kui lisavajadus on kogu perioodiks ja kulud on aasta-aastalt sama, siis näiteks:
2025-2028 - SF-st arendatu hoolduskulu, väikearendused, majutus riigipilves, jne.
Kui tegevused on aastati erinevad, siis tuua need välja järgmiselt:
2025 - 
2026 - 
2027 -
2028 - </t>
  </si>
  <si>
    <t>ok- rahastada, nok- mitte rahastada, ?-otsus lahtine</t>
  </si>
  <si>
    <t>Unikaalne prioriteet</t>
  </si>
  <si>
    <t xml:space="preserve">Esitatud slaidi number, või viide allikale, kus on võimalik tutvuda vajadusel sisuga, sh täpsemate kalkulatsioonidega </t>
  </si>
  <si>
    <t>Anda hinnang, kas on vajadus äri-, andmete-, arhitektuuri-, või muu paneeli järele.
NB! Paneelivajadus on igal üle 400 000 euro maksval algatusel/tegevusel. Konkreetne paneel, või paneelid otsustatakse MKM ettepanekul kohtumisel elluviijaga.</t>
  </si>
  <si>
    <t>Investeering
(15)</t>
  </si>
  <si>
    <t>Tööjõukulu
(50)</t>
  </si>
  <si>
    <t xml:space="preserve">Majandamiskulu
(55) </t>
  </si>
  <si>
    <t>Välja peab olema toodud tegevuste maksumuste arvutused, koos tundide hinna, tundide arvu ja tunnihinna selgitustega. Arenduste puhul lisada tunnihinna põhjendus varasemate hangetega. Inimeste palkamisel peab lähtuma Fontese palgauuringust ja viitama vastavale tööperele.</t>
  </si>
  <si>
    <t>RES lisavajaduste puhul tuua välja, milliste tabeli SF ridadega on käesolev jätkusuutlikkuse rida seotud. Nt: jätkusuutlikkuse kulu ridadele 38, 39 ja 40.
Kui ei ole tegemist jätkusuutlikkuse kuluga, vaid digipöördes eraldiseisva riigieelarvest täiendavat rahastust vajava tegevusega, siis see siin veerus välja tuua.</t>
  </si>
  <si>
    <t>1. Personaalne riik.
2. AI ja andmed.
3. Õigusaktidest tulenevad vajadused. 
4. Baasi korrastamine.
5. Küberturvalisus.
6. Mittesõjalised riigikaitselised IKT vajadused.</t>
  </si>
  <si>
    <r>
      <t>RES lisavajaduste puhul tuua välja kas tegemist</t>
    </r>
    <r>
      <rPr>
        <b/>
        <i/>
        <sz val="11"/>
        <rFont val="Calibri"/>
        <family val="2"/>
        <charset val="186"/>
      </rPr>
      <t xml:space="preserve"> püsikulu</t>
    </r>
    <r>
      <rPr>
        <i/>
        <sz val="11"/>
        <rFont val="Calibri"/>
        <family val="2"/>
        <charset val="186"/>
      </rPr>
      <t>ga mis peab minema baasi, või on tegemist</t>
    </r>
    <r>
      <rPr>
        <b/>
        <i/>
        <sz val="11"/>
        <rFont val="Calibri"/>
        <family val="2"/>
        <charset val="186"/>
      </rPr>
      <t xml:space="preserve"> ühekordse kulu</t>
    </r>
    <r>
      <rPr>
        <i/>
        <sz val="11"/>
        <rFont val="Calibri"/>
        <family val="2"/>
        <charset val="186"/>
      </rPr>
      <t>ga konkrteetse(te)l aasta(te)l.</t>
    </r>
  </si>
  <si>
    <t>MKM</t>
  </si>
  <si>
    <t>Majandus- ja Kommunikatsiooniministeerium</t>
  </si>
  <si>
    <t>Kaire Kasearu</t>
  </si>
  <si>
    <t>I: Digiriik</t>
  </si>
  <si>
    <t>1.2.1. Avalike teenuste juhtimise ja kasutajakesksuse juurutamine</t>
  </si>
  <si>
    <t>III: teadlikkuse tõstmine</t>
  </si>
  <si>
    <t>Panustab mitmetesse TERE teenustesse</t>
  </si>
  <si>
    <t>Puudub ühine standard ja raamistik, kuidas teenuste kogu elukaare jooksul juhitakse ning arendatakse, arvestades 6 suunda</t>
  </si>
  <si>
    <t>Teenuse elukaare juhtimise strateegia, sh mõõdikute kokku panemine, sh eksperdiga koostöös (Analüüsist: Luua VA strateegilisi eesmärke toetav IKT strateegia ja rakendusplaan, organisatsiooni plaan ja riskiplaan.)</t>
  </si>
  <si>
    <t>Teenuse elukaare juhtimise strateegia on koostatud ja mõõdikud olemas</t>
  </si>
  <si>
    <t>ok</t>
  </si>
  <si>
    <t>Ei</t>
  </si>
  <si>
    <t>SF 21-27 (taotletav raha)</t>
  </si>
  <si>
    <t>Analoogne teenuse ostmise leping on aluseks võetud</t>
  </si>
  <si>
    <t>2. Tegevus on jätkusuutlikkuse kulu (baaseelarve, RES lisataotlus, muu allikas)</t>
  </si>
  <si>
    <t>Kuna MKMis varasemalt digipöörde juhtimismudelit ei olnud, siis ühste eesmärgi jaoks peab olema juhtimismudel käivitatud ja juurutatud.</t>
  </si>
  <si>
    <t>Juhtimismudeli käivitamine ja juurutamine (nõukogu, juhtrühma ja võrgustikuga seotud tegevused)</t>
  </si>
  <si>
    <t>Nõukogu, juhtrühm ja võrgustiku tegevused on korraldatud.</t>
  </si>
  <si>
    <t>5. SF tegevus, mis ei vaja jätkusuutlikkuse kulusid (nt analüüs)</t>
  </si>
  <si>
    <t>1.2.7. Avaliku sektori digimuutuste võimendamine</t>
  </si>
  <si>
    <t>MKMi valitsemisala digipöörde suundade hetkeolukord on kaardistatud ja probleemkohad leitud.</t>
  </si>
  <si>
    <t>MKMi valitsemisala digipöörde suundade (teenuse juhtimine, andmed, arhitektuur, küberturvalisus, kestlikkus, oskused ja võimekus) võimestamise tegevused</t>
  </si>
  <si>
    <t>Hetkeolukorrast lähtuvalt aasta 2023/2024 kriitilised tegevused on tehtud.</t>
  </si>
  <si>
    <t>Arvestatud on 15 tuhat konsultatsiooni ja 15000 ajurünnaku vms üritusi.</t>
  </si>
  <si>
    <t>TTJA</t>
  </si>
  <si>
    <t>Raul Kallas</t>
  </si>
  <si>
    <t>1.2.5. Uute lähenemisviiside pidev katsetamine</t>
  </si>
  <si>
    <t>I: Infotehnoloogiliste lahenduste väljatöötamine ja arendamine</t>
  </si>
  <si>
    <t>Puudub võimekus protsessimootor  mikroarhitektuuri integreerida.</t>
  </si>
  <si>
    <t>Protsessimootri kasutuselevõtu lahenduse väljatöötamine (2021-27 SF)</t>
  </si>
  <si>
    <t>On valminud protsessi juhtimise tarkvarade võrdlev analüüs</t>
  </si>
  <si>
    <t>TTJAl puudub võimekus analüütiku ja koolituste osas</t>
  </si>
  <si>
    <t>TTJA võimestamine digipöörde elluviimiseks (nt analüütikud, disainer, koolitused) (2021-27 SF)</t>
  </si>
  <si>
    <t>Digipöörde elluviimiseks on värvatud nt analüütikud, disainer, kompetentsid on tugevdatud</t>
  </si>
  <si>
    <t>4. SF tegevus, mis vajab jätkusuutlikkuse kulusid, aga neid pole välja arvutatud ja eraldi real välja toodud</t>
  </si>
  <si>
    <t>Alates 2028 tekib RES vajadus</t>
  </si>
  <si>
    <t>Teenuste portfelli nõuded ei ole vastavuses suundade ja nõuetega</t>
  </si>
  <si>
    <t>TTJA teenuste portfelli ärianalüüs, tegevuskava teenuste vastavusse viimiseks haldusala üldiste suundade/nõuetega</t>
  </si>
  <si>
    <t>Ärianalüüs ja tegevuskava olemas</t>
  </si>
  <si>
    <t>Klienditoe teenus on killustatud ja pole ühtselt hallatud.</t>
  </si>
  <si>
    <t>klienditoe teenuse I etapi käivitamine</t>
  </si>
  <si>
    <t>Klienditoe I etapp on käivitatud</t>
  </si>
  <si>
    <t>E-teenuste infosüsteemi tootestamiseks puudub hea sisend, mille alusel arendusi tellida.</t>
  </si>
  <si>
    <t>e-teenuste infosüsteemi tootestamise analüüs</t>
  </si>
  <si>
    <t>e-teenuste analüüs on olemas</t>
  </si>
  <si>
    <t>KEMIT</t>
  </si>
  <si>
    <t>Kristjan Kaiklem</t>
  </si>
  <si>
    <t>Direktiivide ülevõtmiseks ja andmete liidestumiseks puudub selge teadmine.</t>
  </si>
  <si>
    <t>EU direktiivinõuete täitmiseks andmeliidestuse mikroteenuse analüüs ja arendus</t>
  </si>
  <si>
    <t xml:space="preserve">Teostatud on arendusprojekt liidestuste loomiseks  </t>
  </si>
  <si>
    <t>Rida 48-ga seos arenduste vaates</t>
  </si>
  <si>
    <t>Digipöörde käivitamine eeldab uusi kompetentse ja keskseid koordineerivad rolle teemades IT arhitektuur, teenused, andmed, kestlikkus, oskused, mida hetkel valitsemisalas pole</t>
  </si>
  <si>
    <t>Kesksete rollide loomine valitsemisalas</t>
  </si>
  <si>
    <t>On olemas valitsemisala teenused, arhitektuur, andmed, kestlikkus, oskused teemade vastuatajate kompetentsid.</t>
  </si>
  <si>
    <t>Tavapäraselt (nt KEMIT) tööjõu näitel on antud ametikoha palgakuluks arvestatud koos kõikide maksudega 6000 eurot ning koolitus ja lähetuskulud 5000 eurot</t>
  </si>
  <si>
    <t>Selgub täpsemalt 2025 aastal. Hetkel arvestatud lubatud SF perioodiga.</t>
  </si>
  <si>
    <t>Teenused aeglased, kliendile ebamugavad, automatiseerimata; süsteemides esineb palju vigu</t>
  </si>
  <si>
    <t>Uue kasutajaliidese disaini väljatöötamine</t>
  </si>
  <si>
    <t>Teostatud loateenuste kasutajateekondade analüüs ja loodud uus UX  disain loateenuste kasutajateekondade jaoks</t>
  </si>
  <si>
    <t>10000 on hinnanguliselt 1 teenuse analüüs</t>
  </si>
  <si>
    <t>Ettevõtluskeskkonna toimimise tagamine</t>
  </si>
  <si>
    <t>Loateenuste piloot ja välisinvesteeringute usaldusväärsuse hindamise rakendus</t>
  </si>
  <si>
    <t>Välisinvesteeringute usaldusväärsuse hindamise teenuse detailanalüüs teostatud ja loataotluse rakendus toimib kliendikeskkonna tootes koos majandustegevuse teadetega toodangukeskkonnas</t>
  </si>
  <si>
    <t>Kinnitatud eelarve</t>
  </si>
  <si>
    <t>Projektijuht*</t>
  </si>
  <si>
    <t>Digipörde teostamine toimib vastavalt aja- ja tegevusplaanile</t>
  </si>
  <si>
    <t>Kui projekt lõpeb, siis ka jätkukulu ei ole vaja.</t>
  </si>
  <si>
    <t>Kristjan Kaklem</t>
  </si>
  <si>
    <t>IV: muu digipöördega seotud otsene kulu</t>
  </si>
  <si>
    <t>e-teenuste tehnoloogilise platvormi baaskulu</t>
  </si>
  <si>
    <t>Tehnoloogiline taristu ja teenused on hallatud</t>
  </si>
  <si>
    <t>?</t>
  </si>
  <si>
    <t>10% investeerinu maksumusest</t>
  </si>
  <si>
    <t>Vajadus tekib alates 2028</t>
  </si>
  <si>
    <t>Rakendusadministraator protsessijuhtimise tarkvara jaoks</t>
  </si>
  <si>
    <t>Protsessijuhtimise tarkvara on testitud, toimib jätkusuutlikult e-teenuste platvormil</t>
  </si>
  <si>
    <t xml:space="preserve">ok </t>
  </si>
  <si>
    <t>Palgatase tööjõuturul</t>
  </si>
  <si>
    <t>Kemit</t>
  </si>
  <si>
    <t>Protsessijuhtimise tarkvara haldus (litsentsid, serverid jm) 50 TEUR/aastas</t>
  </si>
  <si>
    <t>Vajalik taristu on olemas protsessitarkvara kasutamiseks</t>
  </si>
  <si>
    <t>Aluseks Camunda litsentsi maksumus TTJA kasutajate arvuga asutusele</t>
  </si>
  <si>
    <t>RIKS</t>
  </si>
  <si>
    <t>Priit Kollo</t>
  </si>
  <si>
    <t>II: Ühenduvus</t>
  </si>
  <si>
    <t>1.2.3. Tulevikukindlad digiriigi platvormid</t>
  </si>
  <si>
    <t>Raadioside korraldamine</t>
  </si>
  <si>
    <t>Kvantarvutikindlate võrguarhitektuuride teadmiste säilitamine, rahvusvaheline koostöö.</t>
  </si>
  <si>
    <t>EuroQCI - Euroopa kvantvõrkude meede Eesti omaosalus.</t>
  </si>
  <si>
    <t>Kvantvõtmevahetus Soomega. Partnerlus Läti ja Rootsiga ning teiste EU27 riikidega.</t>
  </si>
  <si>
    <t>RES IKT (vaja juurde taotleda)</t>
  </si>
  <si>
    <t>5. Küberturvalisus.</t>
  </si>
  <si>
    <t>RIT</t>
  </si>
  <si>
    <t>Risto Seegel</t>
  </si>
  <si>
    <t>1.2.4. Keskselt osutatud IT-alusteenused</t>
  </si>
  <si>
    <t>IKT alusteenuste keskne osutamine</t>
  </si>
  <si>
    <t>2028. a hinnakasv vs 2027.a</t>
  </si>
  <si>
    <t>ATK standardteenuse jätkusuutlikkuse tagamine</t>
  </si>
  <si>
    <t>RIT-i klientidele on ATK standardteenuse pakkumise jätkusuutlikkus tagatud aastatel 2027-28</t>
  </si>
  <si>
    <t>ATK standardtöökoha maksumuse prognoos</t>
  </si>
  <si>
    <t>Baasi korrastamine.</t>
  </si>
  <si>
    <t>püsikulu</t>
  </si>
  <si>
    <t>Kairi Rais</t>
  </si>
  <si>
    <t>RRF toetuse lõppemine 2024. aasta lõpul, mis toob kaasa olukorra, kus RIT-i kasvuks vahendid (tehnoloogiline võlg+ teenuse igaaastane maksumus) puuduvad</t>
  </si>
  <si>
    <t>Konsolideerimisreserv (RIT ATK standardteenuse klientide arvu kasvuks)</t>
  </si>
  <si>
    <t>Perioodil 2025-2028 on RIT ATK standardteenusele toodud 14 862 uut kasutajat. Eelarve arvestatud eeldusel, et asutus katab olemasolevatest vahenditest vähemalt 25% std. teenuse kulust</t>
  </si>
  <si>
    <t>ATK standardtöökoha maksumuse prognoos ja ATK uute kasutajate arvu prognoos (konsolideerimiskava, mis kinnitatud RIT kasutajate nõukojas)</t>
  </si>
  <si>
    <t>RRF JÄTK Konsolideerimisreserv (RIT ATK standardteenuse klientide arvu kasvuks). RRF-i jätk. 2024 on rahastatud konsolideerimisega seotud inimesed RRF-st.</t>
  </si>
  <si>
    <t>Eri-ja lisateenused, mida on rahastatud RRFst. Asutused on teenuste konsolideerimisega andnud eelarvet kaasa vähem, kui teenuseosutamiseks vajalik on</t>
  </si>
  <si>
    <t>RRF JÄTK RIT klientide eri- ja lisateenused</t>
  </si>
  <si>
    <t>Lisateenuste osutamine asutustele saab jätkuda. Peamised kulud on haldamisega seotud personalikulud</t>
  </si>
  <si>
    <t>Andri Rebane</t>
  </si>
  <si>
    <t>Pilvemäärusele vastavaid riskianalüüse ei ole võimalik teostada</t>
  </si>
  <si>
    <t>Pilvemääruse riskianalüüside läbiviimine</t>
  </si>
  <si>
    <t>Värbamised: 4 FTEd on olemasoleva ATK ja RP infra pilveteenuste usaldusväärsuse hindamine
2 FTEd on tulevase avalike pilveteenuste vahendamise usaldusväärsuse hindamine
2 FTEd on tulevase digituruplatsi pilveteenuste vahendamise usaldusväärsuse hindamine</t>
  </si>
  <si>
    <t>1. Baaseelarve tegevus, mis sisaldab jätkusuutlikkuse kulusid ja need on samal real välja toodud</t>
  </si>
  <si>
    <t>Õigusaktidest tulenevad vajadused.</t>
  </si>
  <si>
    <t>Riigimajade igaastastel halduskuludel ja uute majades IT-vahenditega sisustamisel puudub eelarve</t>
  </si>
  <si>
    <t>Riigimajad</t>
  </si>
  <si>
    <t>katame seadmete ja teenuste igakuised halduskulud ning elutsüklipõhised vahetused</t>
  </si>
  <si>
    <t>Taavi Viilukas</t>
  </si>
  <si>
    <t>Riigiülene avalike pilvede kompetents ning keskve vaade puudub</t>
  </si>
  <si>
    <t>Avalike pilvede kompetentsikeskuse loomine</t>
  </si>
  <si>
    <t>Kompententsikeskus on loodud ning töötab. 2025 alustatakse välise partneriga ning värvatakse positsioonid RITi.</t>
  </si>
  <si>
    <t>Kasutajate tööharjumused on muutunud, 2 monitori on uus standard. Nõudlikumate töökohtadele vajadus erikonfiga tööjaamu</t>
  </si>
  <si>
    <t>ATK standardteenuse laiendamine (teine monitor)</t>
  </si>
  <si>
    <t>2025 soetab RIT 7500 rendimonitori tänastele klientidele.  RIT rendib erikonfiga 500 tööjaama. 2026-28 rendimaksete tasumine.</t>
  </si>
  <si>
    <t>Ergo Tars</t>
  </si>
  <si>
    <t>RIT klientide standardteenuste välised vajadused ATK ja RP teenuste osutamiseks</t>
  </si>
  <si>
    <t>RIT klientide lisavajadused</t>
  </si>
  <si>
    <t>GPU ressurss on hangitud, koosolekuruumid uuendatatud vastavalt asutuste sisendile, lisaks eritarkvarad, std välised arvutid jne soetatud ja hallatud vastavalt esitatud vajadustele</t>
  </si>
  <si>
    <t>Nele Pihlak</t>
  </si>
  <si>
    <t>Riigiside toetavad teenused</t>
  </si>
  <si>
    <t>Puuduvad ühtsed juhtimispõhimõtted ja on vajadus selgete juhtrollide defineerimiseks, sh juhtide digipädevuste defineerimiseks,  et RIKS suudaks kiiremini reageerida digimuutustele ja kasutaksime töös kaasaegseid digitaalseid lahendusi, mis aitaksid juurutada andmete- ja teenusepõhise juhtimise</t>
  </si>
  <si>
    <t>RIKS juhtide arenguprogramm: juhtimispõhimõtete loomine ja juhtide digipädevuste kaardistamine 2024</t>
  </si>
  <si>
    <t xml:space="preserve">RIKS juhtimispõhimõtted, sh juhtrollid kokku lepitud ja nende digipädevused kaardistatud. </t>
  </si>
  <si>
    <t>Eeldetav programmi maksumus võetud pakkumuste alusel.</t>
  </si>
  <si>
    <t>1. Personaalne riik</t>
  </si>
  <si>
    <t>Greetel Lee</t>
  </si>
  <si>
    <t>Panustab kõikidesse TERE teenustesse</t>
  </si>
  <si>
    <t xml:space="preserve">MKM kui digioskuste näidisasutus ei oska kasutada kasutuselolevaid Microsoft tööriistu ja uut tööplaani keskkonda Viva Goals. </t>
  </si>
  <si>
    <t>Microsofti keskkonna koolitused (sh tööplaani keskkond) MKM teenistujatele</t>
  </si>
  <si>
    <t xml:space="preserve">Koolituste tulemusena oskavad MKMi teenistujad kasutada Microsofti keskkondi paremini kasutada, oskavad täita tööplaani. Microsofti keskkonnale üleminek toetab teenus- ja andmepõhisele juhtimisele üleminekut. </t>
  </si>
  <si>
    <t xml:space="preserve">Aluseks on võetud teenuse maksumuse turu-uuring. </t>
  </si>
  <si>
    <t>RIA</t>
  </si>
  <si>
    <t> </t>
  </si>
  <si>
    <t>Kai Kallas</t>
  </si>
  <si>
    <t>Riigiportaali platvormi pakkumine</t>
  </si>
  <si>
    <t>Tootejuhid täidavad projektijuhtide ülesandeid pigem kui et jõuavad tegeleda tootejuhtimisega. Tootejuhid täna juhivad arendusmeeskondi, kirjutavad täismahus ise hankeid jne. Mis tähendab, et toote elukaare eest hoolitsemine on teisejärguline, kuna lihtsalt inimlikult ei jää aega üle arenduste juhtimise kõrvalt.</t>
  </si>
  <si>
    <t>eesti.ee arendusprotsessi toimimise tagamine, 2x tehniline projektijuhi FTE</t>
  </si>
  <si>
    <t>Nii toote elukaar on juhitud kui ka aktiivsed arendusprojektid.</t>
  </si>
  <si>
    <t>RAH-277</t>
  </si>
  <si>
    <t>2025.a. tööjõukulud+töökohakulu 105 000,00
2026.a. tööjõukulud+töökohakulu 115 500,00
2027.a. tööjõukulud+töökohakulu 127 050,00
2028.a. tööjõukulud+töökohakulu 139 755,00</t>
  </si>
  <si>
    <t>Personaalne riik</t>
  </si>
  <si>
    <t>Ahto-Ain Sööt</t>
  </si>
  <si>
    <t>Riigivõrgu teenuste pakkumine</t>
  </si>
  <si>
    <t>Riigivõrgu seadmepark on 2024 seisuga uuendatud ning kõik on kaetud tootja poolsete support lepingutega. See tähendab, et seadmete tarkvara uuendatakse ja paigatakse eelduslikult veel 2-3 aastat. Seademte EOL ehk end of life tähtaeg tuleb hinnanguliselt 2025-2026 välja ja sellest sõltub kas ja mis mahus tuleb seadmeparki uuendada.
Näeme võimalust, et aastatel 2027 ja 2028 tuleb vahetada MPLS maakondlikuvõrgu seadmeid suuremas mahus - rohkem kui 200 tk. Muuhulgas on mõistlik kasvatada uue mudeliga läbilaskevõimsust ja uplinkide hulka. Eeldatav mudel mida hakkame kasutama on Cisco NCS 540.</t>
  </si>
  <si>
    <t>Riigivõrgu seadmete uuendamine 2025-2028 perioodil</t>
  </si>
  <si>
    <t>Seadmete vahetuse tulemuseks on 7-10 aastat võrgu töökindlust ning turvalisust. Arvestades julgeoleku olukorda peame oluliseks tehnilise taristu kõrget töökindlust ja turbe taset.</t>
  </si>
  <si>
    <t>RAH-275</t>
  </si>
  <si>
    <t>Baasi korrastamine</t>
  </si>
  <si>
    <t>ühekordne investeering</t>
  </si>
  <si>
    <t>Margus Parts</t>
  </si>
  <si>
    <t xml:space="preserve">III: Küberturvalisus </t>
  </si>
  <si>
    <t>Pilveteenuste kasutuselevõtu tulemusel, muutub kontode turvaline halduse keerukamaks ja intsidendi oht suureneb. Lisaks RIA taristule, tuleb turvata ka pilve platvorme, mille ründepind on suur.</t>
  </si>
  <si>
    <t>Identiteedihalduse arendus, mis toetab pilvedes pakutavata funktsionaalsuste kasutuselevõttu.</t>
  </si>
  <si>
    <t>Võtame kasutusele automaatse kontode halduse, paroolivaba indentiteedi ning moodsad pilve seire tööriistad.</t>
  </si>
  <si>
    <t>RAH-272</t>
  </si>
  <si>
    <t>Üks FTE - tööjõukulud pluss töökohakaulud</t>
  </si>
  <si>
    <t>Küberturvalisus</t>
  </si>
  <si>
    <t>Rain Ojastu</t>
  </si>
  <si>
    <t>3.3. Suurem küberturvalisuse tagamise võimekus</t>
  </si>
  <si>
    <t xml:space="preserve"> Infoturbe meetmete arendamine ja nõustamine</t>
  </si>
  <si>
    <t>Hetkel on E-ITSi muudatuste haldamine, st uute versioonide tootmine ja uute meetmete loomine tehniliselt töömahukas, puuduvad vajalikud töövahendid, palju manuaalset käsitööd dokumendifailides.</t>
  </si>
  <si>
    <t>Infoturbestandardi haldus</t>
  </si>
  <si>
    <t>Eesit infoturbestandardi muudatuste haldamise tööriist välja töötatud ja kasutusel. Loodud rakendus võimaldab hallata standardi uute versioonide ettevalmistamist, haldamist ja publitseerimist standardi portaali. Tagatud on standardi portaali ajakohasus.</t>
  </si>
  <si>
    <t>RAH-88</t>
  </si>
  <si>
    <t>arendused automaatkontrollide loomiseks E-ITS automaatseks rakendamiseks
3 FTE'd - tööjõukulud pluss töökohakulud</t>
  </si>
  <si>
    <t>Lauri Tankler</t>
  </si>
  <si>
    <t>3.1. Ajakohane küberturvalisuse riiklik korraldus</t>
  </si>
  <si>
    <t>II: küberruumi hoidmine, arendamine ja juurutamine usaldusväärse ja turvalisena</t>
  </si>
  <si>
    <t>Eesti küberturvalisuse valdkonna tööstuse, tehnoloogia ja teaduse arengu toetamine</t>
  </si>
  <si>
    <t>Eesti ja Euroopa küberturvalisuse kompetents on fragmenteerunud, spetsialiste on puudu, teadlased ja ettevõtjad tegutsevad suuresti oma silodes, turul pole teenusepakkujate vahelist konkurentsi ning võrreldavaid teenuseid, küberiduettevõtted kaovad digi-idude vahele ära. Tulevikutehnoloogiate turvalisusega tegeletakse alles tagantjärgi ning tihti loodetakse välisele (sh ELi-välisele) kompetentsile, kust tellida küberturvalisuse teenuseid (koolitusi, uuringuid, ohuteavet, praktilist konsultatsiooni). Euroopa küberturvalisuse kompetentsikeskuse ja riiklike koordineerimisüksuste (mille rolli täidab RIA) võrgustik lahendab probleemi Euroopa-üleselt. Euroopa küberkompetentsikeskus on valmis riiklikke koordineerimisüksuseid edaspidigi toetama (2025+), riigieelarvelise omaosaluse olemasolul. Et Eesti koordineerimisüksus saaks täita ELi regulatsioonist tulenevaid ülesandeid ja Eesti küberkompetents kasvaks, on vaja täiendavat püsirahastust-omaosalust aastateks 2025+</t>
  </si>
  <si>
    <t>Euroopa küberkompetentsikeskuse Eesti koordinatsioonikeskuse jätkusuutlikkuse tagamise tegevus (omaosalus ELi projektist 50% taotlemisel)</t>
  </si>
  <si>
    <t>Vajadus on 2025-2028. Kululiigid: personalikulu, toetused kolmandatele osapooltele (küberpööre EASiga, küberiduettevõtted), koolitused ja treeningud, teadmussiirdeprojektid, ürituste korraldamise kulu. Tulemuseks järgmised sihid, et senisest enam ettevõtteid pakub ja tarbib küberturvalisuse teenuseid; digitaliseerivatel ja uusi tehnoloogiaid rakendavatel ettevõtetel on juhendeid turvalisuse osas; et senisest enam naisi ja tüdrukuid osaleb küberturvalisuse õppes (spetsialistidest kuni juhtideni), et võtmetähtsusega mitte-IT valdkondade väljaõppes (ärijuhid, ettevõtjad, õpetajad, avaliku halduse, sotsiaalia, aga ka loomemajanduse ja põllumajanduse spetsialistid) on integreeritud küberturvalisuse õpiväljundid, et senisest enam konverteeritakse küberturvalisuse akadeemilise teadustöö tulemeid iduettevõtete teenusteks ja toodeteks, et senisest enam Eesti ettevõtteid ja teadusasutusi osaleb küberturvalisuse Euroopa projektivoorudes ning on sealt saanud positiivse rahastusotsuse</t>
  </si>
  <si>
    <t>RAH-229</t>
  </si>
  <si>
    <t>Muu rahastus</t>
  </si>
  <si>
    <t>Kõik RE kulud on võimalik niiöelda duubeldada Euroopa DIGITAL fondi taotlusvoorust, mis on spetsifiiliselt mõeldud riiklikele koordinatsioonikeskustele. Arvutused lähtuvad 2023-2024 tehtud 2a pikkusest pilootprojektist. Tööjõukulu lähtub 5FTEst ja töökohakuludest, arvutuskäigus on teadmussiirde programm (ca 130k aastas uuringutele ja juhendmaterjalidele), noorte ja täiskasvanute küberkarjääri ja küberhariduse tegevused (ca 180k aastas), kogukonnaüritused (ca 22k aastas), küberinnovatsiooni meetmest (100k aastas), Küberpöörde toetusmeetmest (500k aastas) ja Euroopa suunalistest tegevustest koos ettevõtluse toetamise meetmetega (ca 80k aastas). Kõik see on kokku ca €1,5m aastas, millest pool on võimalik taotleda Euroopa DIGITAL taotlusvoorust 2024 aastal</t>
  </si>
  <si>
    <t>Eraldi tegevus, ei ole seotud SFiga, vajab jätkusuutlikkuse lähenemist</t>
  </si>
  <si>
    <t>Baas</t>
  </si>
  <si>
    <t>Märt Hiietamm</t>
  </si>
  <si>
    <t>Küberhügieen ja avalikkuse teadlikkuse tõstmine</t>
  </si>
  <si>
    <t>Ebapiisavast küberhügieenist tulenevatel küberintsidentidel on ulatuslik ning aina kasvav negatiivne mõju Eesti inimestele ja ettevõtetele. Nende mõju meediakajastus aitab küberhügieeni olulisust rõhutada, kuid on ebapiisav avalikkuse käitumise muutmisel. Lisaks hindame koos Eesti julgeolekuasutustega, et Vene-Ukraina konflikti üheks mõjuks meile on suurenenud oht ulatuslikeks küberintsidentideks, mistõttu Eesti inimeste ja austuste teadlikkust küberhügieenist tuleb lähiaastatel aina ja aina tõsta.</t>
  </si>
  <si>
    <t>Regulaarsete küberturbe teavituskampaaniate mõju suurendamine</t>
  </si>
  <si>
    <t>Eelarveperioodi 2025-28 jooksul on toimunud 8-16 RIA poolt kaardistatud sihtrühmaga ja RIA jaoks olulise teemapüstitusega teavituskampaaniat. Iga kampaania käigus jõutakse vähemalt pooleni sihtrühma esindajatest. Kampaania lõppfaasis toimub asjakohasuse korral vastav uuring sihtgrupi suunal.
Eesti elanikkonna eri sihtrühmade järjepidev teavitamine on tõstnud laiema avalikkuse teadlikkust küberohtudest ning andnud parema oskuse end nende eest kaitsta.
Elanikel ja ettevõtete esindajatel on lihtsasti kättesaadavad materjalid, et kaitsta ennast ja oma lähedasi küberohtude eest.
Eesti inimesed on teadlikud, et RIA tegeleb küberohtude ennetamise ja lahendamisega ning et RIA käest võib vastavat abi saada.</t>
  </si>
  <si>
    <t>RAH-289</t>
  </si>
  <si>
    <t>Alates 2026 vaja juurde 1 FTE (77 000 eurot) ja kampaaniavahendeid (125 000 eurot). Alates 2027 juurde veel 1 FTE (kokku 2 FTE 170 000 eurot) ja 125 000 eurot vahenditeks (kokku 250 000 eurot. Alates 2028 kasvab 2 FTE peale kuluv summa 187 000 euro peale, lisavahenditeks endiselt 250000 eurot.
Aastatel 2026-28 kokku lisavajadus 434 000 eurot lisanuvate FTE-de jaoks ning 625 000 eurot kampaaniate lisavahenditeks.
Lisavajaduse perioodil 2026-28 kokku 1 059 000 eurot.</t>
  </si>
  <si>
    <t>Urve Pastarus</t>
  </si>
  <si>
    <t>Organisatsioon on kiiresti kasvanud, sh teenuste hulk ja protsesside rakendajate arv. RIAs on juurutatud järk-järgult kliendist lähtuvat teenustpõhist ja agiilset/DevSecOps juhtimismudelit kuid sellist organisatsiooni muutust ja teenuste portfelli kasvu ei toeta täna ajakohane töökorralduse raamistik, mis tagaks erinevates sõltumatutes meeskondades ühiste haldus - ja arendusnõuete rakendamise ja kvaliteedi seire (sh dokumenteerimine, protsesside ja seotud töövahendite arendamise ja rakendamise tugi, kvaliteedijuhtimise korraldamine).</t>
  </si>
  <si>
    <t>Kvaliteedi- ja protsessijuhtimise võimekuse tõstmine (1 FTE)</t>
  </si>
  <si>
    <t>Loodud on teenuspõhise juhtimissüsstemi rakendamiseks vajalik kvaliteedi- ja protsessipõhise juhtimise võimekus: kokku on lepitud kriitilised kliendiprotsessid, mis on kirjeldatud ja dokumenteeritud ühtsetel alustel, koordineeritakse nende rakendamist ning järjepidevat kvaliteedi ja tõhususe juhtimist osakondi ja meeskondi läbivalt.</t>
  </si>
  <si>
    <t>RAH-274</t>
  </si>
  <si>
    <t>1 FTE - tööjõukulud pluss töökohakulud</t>
  </si>
  <si>
    <t>Martin Paas</t>
  </si>
  <si>
    <t xml:space="preserve">Tänane võimekus ei ole piisav RS-süsteemide haldamiseks ei tava- ega kriisiolukorras. </t>
  </si>
  <si>
    <t>Kriisivalmiduse tagamine RS-süsteemides</t>
  </si>
  <si>
    <t>• Tekib 24/7 võimekus kriisihalduseks lühikese perioodi vältel.
• Töötlussüsteemid on hallatud, intsidente ei esine.
• Tagatud on RIA kui küberturvalisuse kompetentsikeskuse töö kriisiolukorras, sh operatiivinfo vahetamine partneritega.</t>
  </si>
  <si>
    <t>RAH-273</t>
  </si>
  <si>
    <t>• 1 tooteomanik
• 2 küberturbe eksperdi ametikohta.
Tööjõukulud ja töökohakulud</t>
  </si>
  <si>
    <t>Riho Kerge</t>
  </si>
  <si>
    <t>1.2.2. Andmepõhine riigivalitsemine ja andmete taaskasutus</t>
  </si>
  <si>
    <t>Andmete taaskasutamise ja väärindamise lahenduste pakkumine</t>
  </si>
  <si>
    <t>2022-2025 on (ava)andmete teabevärava arendamisega seotud tegevused aastani 2025 kaetud RRFi rahastusega, ent teenus peab jääma jätkusuutlikuks ka peale selle rahastuse lõppemist.</t>
  </si>
  <si>
    <r>
      <rPr>
        <b/>
        <sz val="11"/>
        <color rgb="FFFF0000"/>
        <rFont val="Calibri"/>
        <family val="2"/>
        <charset val="186"/>
      </rPr>
      <t>RRF JÄTK</t>
    </r>
    <r>
      <rPr>
        <sz val="11"/>
        <color rgb="FFFF0000"/>
        <rFont val="Calibri"/>
        <family val="2"/>
        <charset val="186"/>
      </rPr>
      <t xml:space="preserve"> (ava)andmete teabevärav: jätkusuutlikkuse tagamine peale praeguse RRFi rahastuse lõppu 2026-2028 (sh 2FTE)</t>
    </r>
  </si>
  <si>
    <t>RIA andmete talituse (sh avaandmete teabevärava tiimi) 2 FTE tööjõukulud, töökoha kõrvalkulud, (ava)andmete teabevärava jätkuarendused ja riigipilve majutus- ning hoolduskulud on jätkusuutlikult kaetud baaseelarvest ka peale praeguse RRFi lõppu.</t>
  </si>
  <si>
    <t>RAH-224</t>
  </si>
  <si>
    <t>2 FTE tööjõu- ja töökohakulud alates 2026
Avaandmete teabevärava jätkusuutlikkuse tagamiseks vajalikud arendused ja kulud</t>
  </si>
  <si>
    <t>OK</t>
  </si>
  <si>
    <t>AI ja andmed</t>
  </si>
  <si>
    <t>2022-2025 on RIHA/RIHAKE arendamisega seotud tegevused kaetud RRFi rahastusega, ent teenus peab jääma jätkusuutlikuks ka peale selle rahastuse lõppemist.</t>
  </si>
  <si>
    <r>
      <rPr>
        <b/>
        <sz val="11"/>
        <color rgb="FFFF0000"/>
        <rFont val="Calibri"/>
        <family val="2"/>
        <charset val="186"/>
      </rPr>
      <t>RRF JÄTK</t>
    </r>
    <r>
      <rPr>
        <sz val="11"/>
        <color rgb="FFFF0000"/>
        <rFont val="Calibri"/>
        <family val="2"/>
        <charset val="186"/>
      </rPr>
      <t xml:space="preserve"> RIHA/RIHAKE: jätkusuutlikkuse tagamine peale praeguse RRFi rahastuse lõppu 2026-2028</t>
    </r>
  </si>
  <si>
    <t>RIHA ja RIHAKE jäävad jätkusuutlikuks ka peale RRFi rahastuse lõppemist.</t>
  </si>
  <si>
    <t>RAH-225</t>
  </si>
  <si>
    <t>RIHA/RIHAKE jätkusuutlikkuse tagamiseks vajalikud arendused</t>
  </si>
  <si>
    <t>1.1.1. Üleminek sündmuspõhistele ja proaktiivsetele teenustele</t>
  </si>
  <si>
    <t>Sündmusteenusted jäävad edasi arendamata ning olemasolevad hakkavad vananema ning kaotavad kiirelt ajas oma väärtuse e-teenusena. Vananenud ja tehniliselt uuendamata teenused jagavad lõppkasutaja vaates eksitavat infot ning muutuvad kiirelt turvakriitiliseks.</t>
  </si>
  <si>
    <t>Riigiportaali ja sündmusteenuste jätkusuutlikkuse tagamine</t>
  </si>
  <si>
    <t>Riigiportaali teenuste pakkumine on tagatud</t>
  </si>
  <si>
    <t>Sündmusteenuste platvormi jätkusuutlikkus pärast RRF rahastsue lõppemist</t>
  </si>
  <si>
    <t>RAH-278</t>
  </si>
  <si>
    <t>EI</t>
  </si>
  <si>
    <t>18 FTE tööjõu- ja töökohakulud alates 2026</t>
  </si>
  <si>
    <t>1.1.2. Krativäeline riik</t>
  </si>
  <si>
    <t>Bürokrati baaskomponendid</t>
  </si>
  <si>
    <t>Bürokrati meeskond (9FTE) ja arendused on rahastatud 100% ulatuses RRF-ist. Alates 2026 (küsitud juba 2024) vajame meeskonna jätktamiseks RES-ist rahastust personalikuludeks ja halduskuludeks</t>
  </si>
  <si>
    <r>
      <rPr>
        <b/>
        <sz val="11"/>
        <color rgb="FFFF0000"/>
        <rFont val="Calibri"/>
        <family val="2"/>
        <charset val="186"/>
      </rPr>
      <t>RRF JÄTK</t>
    </r>
    <r>
      <rPr>
        <sz val="11"/>
        <color rgb="FFFF0000"/>
        <rFont val="Calibri"/>
        <family val="2"/>
        <charset val="186"/>
      </rPr>
      <t xml:space="preserve"> BÜROKRATT jätkurahastus al 2026</t>
    </r>
  </si>
  <si>
    <t>Jätkub Bürokrati platvormi (ökosüsteemi) arendus ja juurutamine - ilma meeskonnata seiskub arendus ja haldus. Jätkub klientide kaasamine ja kliendivajaduste realiseerimine (loe: kliendi funktsionaalsuste lisamine).</t>
  </si>
  <si>
    <t>RAH-253</t>
  </si>
  <si>
    <t>9 FTE tööjõu- ja töökohakulud alates 2026,
Bürokrati hooldus- ja arenduskulud alates 2026</t>
  </si>
  <si>
    <t>DAO</t>
  </si>
  <si>
    <t>Hendrik Roland Helm (projektijuht)</t>
  </si>
  <si>
    <t>IKT oskuste edendamine</t>
  </si>
  <si>
    <t xml:space="preserve">SF rahastusest väljumine. Riigiasutused ja kohalikud omavalitsused on loonud teenistujate ning laiema avalikkuse koolitamise eesmärgil e-kursuseid, mis vajavad kättesaadavuseks veebiplatvormi. Keskse ning turvalist autentimist võimaldava platvormi olemasolu aitab hoida kokku ressursse, mis vastasel juhul kuluks sarnaste platvormide paralleelsele ülalhoiule asutuste poolt. Kui iga asutus looks eraldiseisva e-õppe platvormi, siis hinnanguline kulu aastas asutuse kohta oleks 40 000 eurot aastas. (Liitunuid asutusi 6, 2024 liituda soovijaid 7). Rahastuse puudumisel tuleb keskkond sulgeda, mis toob olemasolevate e-kursuste ümberkolimise vajaduse, kuid riigiülese platvormi puudumisel ei ole kursuseid kuhugi majutada. Lisaks olemasolevate e-kursuste majutamise probleemile tuleb taas hakata rohkem klassiruumi koolitusi korraldama, mis ei ole kuluefektiivne. </t>
  </si>
  <si>
    <t>Digiriigi Akadeemia kui avaliku sektori keskse e-õppe platvormi ülalhoid ning käideldavuse parandamine</t>
  </si>
  <si>
    <t xml:space="preserve">2025-2028 - varem SF-st arendatu ülalhoid ning hooldamine (platvormi hoolduse täisteenus ühelt IT-majalt, sh server, Kubernetes, kasutajalitsentsid e-kursuste loomiseks, tootejuhi, süsteemiadministraatori, klienditoe spetsialisti ja arendaja palgafond). Planeeritud tegevused võimaldavad tagada platvormi käideldavuse ja kvaliteedi kasvava kliendibaasi tingimustes (lisanduvad asutused ning kasutajad). Läbi ressursside kokkuhoiu, paindlikkuse ja strateegiliselt oluliste teadmiste koondamise, toetab Digiriigi Akadeemia ühtse standardi abil avaliku sektori töötajate arendamist. </t>
  </si>
  <si>
    <r>
      <rPr>
        <b/>
        <sz val="11"/>
        <rFont val="Calibri"/>
        <family val="2"/>
        <charset val="186"/>
      </rPr>
      <t>Platvormi käideldavuse tõstmine.</t>
    </r>
    <r>
      <rPr>
        <sz val="11"/>
        <rFont val="Calibri"/>
        <family val="2"/>
        <charset val="186"/>
      </rPr>
      <t xml:space="preserve"> Kubernetes-e klastri kasutuselevõtt, mis võimaldab  ülekoormuse korral keskkonna automaatset suurendamist. Paraneb kasutajate rahuolu. Olemasoleva taristu maht 3-4 kordistub projekti käigus ning lisandub lisakulu Kubernetes-e toe eest.
</t>
    </r>
    <r>
      <rPr>
        <b/>
        <sz val="11"/>
        <rFont val="Calibri"/>
        <family val="2"/>
        <charset val="186"/>
      </rPr>
      <t>Automatiseeritud tarneprotsesside kasutuselevõtt.</t>
    </r>
    <r>
      <rPr>
        <sz val="11"/>
        <rFont val="Calibri"/>
        <family val="2"/>
        <charset val="186"/>
      </rPr>
      <t xml:space="preserve"> Uuendada ära Digiriigiakadeemia IT arhitektuur ning ümber ehitada kogu tarkvara paigaldus ning kasutusele võtta CI/CD tarneprotsessid. Tarkvara uuenduste protsess muutub kiiremaks (arendus-test-live).
</t>
    </r>
    <r>
      <rPr>
        <b/>
        <sz val="11"/>
        <rFont val="Calibri"/>
        <family val="2"/>
        <charset val="186"/>
      </rPr>
      <t>IT teenuse omaniku töökoha loomine</t>
    </r>
    <r>
      <rPr>
        <sz val="11"/>
        <rFont val="Calibri"/>
        <family val="2"/>
        <charset val="186"/>
      </rPr>
      <t xml:space="preserve">. Omab detailset ülevaadet pakutava teenuse sisust ning selle pakkumiseks kasutatavatest tehnoloogilistest vahenditest. Vastutab teenustaseme kokkuleppe (SLA) sõlmimise, täitmise ja ajakohasena hoidmise eest, korraldab arendusprojektide juhtimist (alates hangetest kuni tarkvara paigaldamiseni).  Hoiab ajakohasena IT teenuse informatsiooni IT teenuste portfellis, SLA tingimusi ja dokumentatsiooni. Koostab kliendi äri ja IT tehnilistest vajadustest lähtuva IT teenuse strateegia, aastaste muudatuste plaani koos eelarvega ja koordineerib selle elluviimist. On kursis IT teenusega seotud intsidentide ja probleemidega ning korraldab nende lahendamist.
</t>
    </r>
    <r>
      <rPr>
        <b/>
        <sz val="11"/>
        <rFont val="Calibri"/>
        <family val="2"/>
        <charset val="186"/>
      </rPr>
      <t>DevOPS süsteemiadministraatori töökoha loomine</t>
    </r>
    <r>
      <rPr>
        <sz val="11"/>
        <rFont val="Calibri"/>
        <family val="2"/>
        <charset val="186"/>
      </rPr>
      <t>. Tagab keskkonna töö (käideldavus), tehniliste probleemide ja intsidentide lahendamise, mis võivad esineda keskkonna töös, tagab keskkonna turvauuenduste paigaldamine (server + rakendus), tagab automaatse paigaldusprotsessi toimise tarkvara pidevaks paigaldamiseks. Paraneb Moodle haldamise tehniline teadlikkus.</t>
    </r>
  </si>
  <si>
    <t>Ei ole tegemist MKM valdkondliku digipöörde SF tegevustega.</t>
  </si>
  <si>
    <t>Püsikulu (baasi)</t>
  </si>
  <si>
    <t>RKO</t>
  </si>
  <si>
    <t>Irina Klementi (RKO juht) / Natalja Zinovjeva (protsessijuht)</t>
  </si>
  <si>
    <t>Küberturbe poliitika kujundamist toetavate analüüside teostamise korraldamine</t>
  </si>
  <si>
    <r>
      <rPr>
        <b/>
        <sz val="11"/>
        <color rgb="FF000000"/>
        <rFont val="Calibri"/>
        <family val="2"/>
        <charset val="186"/>
        <scheme val="minor"/>
      </rPr>
      <t>Rahastuse puudumisel võib tekkida olukord, kus küberturvalisuse strateegiad ja otsused tuginevad pelgalt isiklikele arvamustele, mitte põhjalikele teaduslikele uuringutele ja analüüsidele. RRFi rahastusest väljumine: Vajadus on hoida silma peal edaspidigi uutel tehnoloogiatel, uutel ohtudel ja nende jaoks vajalikke meetmeid rakendada</t>
    </r>
  </si>
  <si>
    <t xml:space="preserve">Riigisektori seisukohalt strateegiliselt oluliste uuringute ja analüüside tellimine, et tagada valdkonna süsteemne areng </t>
  </si>
  <si>
    <t>Riigisektoril on kõrge teadlikkus uusimatest tehnoloogiatest, uutest ohtudest ja vajalikest meetmetest ohtude maandamiseks.</t>
  </si>
  <si>
    <t>Kavandatavad analüüsid / uuringud, ülikoolide toetamine arengute uurimisel/ analüüside läbiviimisel nt: 
- tulevikutehnoloogiate kasutamise riskid ja nende haldus. Võimalused ja rakenduskava tehnoloogia-põhiste rünnakute ennetamiseks (krüpto, AI, lunavara, kvantarvutite võimsuse kasv jne); 
- Üleriiklike e-teenuste küberturvalise tõstmine (sh teiste riikide näitel) jne</t>
  </si>
  <si>
    <t>5. Küberturvalisus</t>
  </si>
  <si>
    <r>
      <rPr>
        <b/>
        <sz val="11"/>
        <color rgb="FF000000"/>
        <rFont val="Calibri"/>
        <family val="2"/>
        <charset val="186"/>
        <scheme val="minor"/>
      </rPr>
      <t>Rahastuse puudumisel ei pruugi digitaliseerimisega seotud riskid piisavalt maandatud saama. RRFi rahastusest väljumine: vajadus on parandada avaliku sektori, sh KOVide, teadlikkust riski- ja turbejuhtimisest</t>
    </r>
  </si>
  <si>
    <t>Töötoad või koolitused avalikule sektorile, sh KOVidele, riski- ja turbejuhtimise tõhustamiseks, varukoopiate taastamise testimiseks</t>
  </si>
  <si>
    <t>Digitaliseerimisega seotud riskid on maandatud</t>
  </si>
  <si>
    <t xml:space="preserve">Töötubade korraldamine avalikule sektorile ja KOVidele digitaliseerimisega seotud küberriskide maandamiseks, infoturbe võimekuse tõstmiseks.  
Õppuste läbiviimine ja rakenduskavad kriitiliste teenuste/infrastruktuuri kriis- ja turvalisuse/toimepidevuse tõstmiseks. </t>
  </si>
  <si>
    <t>Riikliku küberturvalisuse juhtimine, poliitika kujundamine ja õigusloome</t>
  </si>
  <si>
    <r>
      <rPr>
        <b/>
        <sz val="11"/>
        <color rgb="FF000000"/>
        <rFont val="Calibri"/>
        <family val="2"/>
        <charset val="186"/>
        <scheme val="minor"/>
      </rPr>
      <t>Rahastuse puudumisel MKM RKO enam proaktiivse lähenemisega tulevikutehnoloogiate, tehnoloogiliste ohtude hindamise, tehnoloogiliste riskide halduse korraldamisega riigis, küber- ja riikliku ohupildi loomisega, arendustegevuste/uuringute lähteülesannete ja seisukohtade võtmisega ei tegele kuna puuduvad inimesed. Võib tekkida olukord, kus küberturvalisuse strateegiad ja otsused tuginevad pelgalt isiklikele arvamustele, mitte põhjalikele teaduslikele uuringutele ja analüüsidele, samuti ei ole EL-i teemad piisaval määral ülevõetud siseriiklikul tasemel. Näiteks EL tasemel kehtestatakse sertifitseerimisskeem, mis võib Eestis arendatud ja kasutusele võetud digitoote või üldse laiemalt EE “digiökosüsteemi” mitte sobivaks muuta (nt ID-kaartide sertifikaadid ja eIDAS teema). Osalisel rahastusel tuleb valida, millega riigiüleselt tegeletakse ja millega mitte.</t>
    </r>
  </si>
  <si>
    <t xml:space="preserve">Proaktiivne valdkonna juhtimine, sh tehnoloogiate, ohtude hindamine, sh tulevikutehnoloogiate uuringute, analüüside jm projektijuhtimine, tehnoloogiliste meetmete väljatöötamine, infoturbearengu seire, küpsushindamine, kriisijuhtimise tugi. </t>
  </si>
  <si>
    <t xml:space="preserve">Proaktiivne valdkonna juhtimine, mis tagab digiteenuste turvalist arendamist ja kasutuselevõtmist. Tehnoloogiliste ohtude hindamine, tehnoloogiliste riskide halduse korraldamine riigis, küber- ja riikliku ohupildi loomine ja võimeid adresseerivate tehnoloogiliste meetmete väljatöötamine,  infoturbe arengu seire ja küpsushindamine, kriisijuhtimise tugi. Proaktiivne lähenemine küberturvalisuse strateegiate loomiseks, tulevikukindluse tagamiseks, mis põhineb põhjalikel teaduslikel uuringutel ja analüüsidel, juhendmaterjalide ja analüüside läbiviimise tugi. </t>
  </si>
  <si>
    <t xml:space="preserve">Riikliku küberturvalisuse osakonna nelja inimese palgakulu koos sotsiaal- ja töötuskindlustusmaksudega. RKO meeskond oli pikaajaliselt alamehitatud, oluline on tagada küberturvalisuse kasv riigis, et kindlustada tulevik ja kriisikindlus riiklikul tasandil. </t>
  </si>
  <si>
    <t xml:space="preserve">Ei ole tegemist MKM valdkondliku digipöörde SF tegevustega.
Alates 01.01.2025 puudub rahastus MKM riikliku küberturvalisuse osakonna (RKO) neljale inimesele. Rahastuse puudumisel MKM RKO enam proaktiivse lähenemisega tulevikutehnoloogiate, tehnoloogiliste ohtude hindamise, tehnoloogiliste riskide halduse korraldamisega riigis, küber- ja riikliku ohupildi loomisega, arendustegevuste/uuringute lähteülesannete ja seisukohtade võtmisega ei tegele kuna puuduvad inimesed. Osalisel rahastusel tuleb valida, millega riigiüleselt tegeletakse ja millega mitte. 
Eeltoodud infot tuleb vaadelda RKO pikaajalise alamehitatuse taustal (11 töökohast on hetkel täidetud 6, mis töötavad suurendatud koormusega, käib meeskonna uute liikmete värbamine). Kui antud neljale inimesele palgaraha ei leia, siis riikliku küberturvalisuse osakonda jääb 5 inimest (osakonnajuhataja (hetkel värbamata), kaks õigusnõunikku, väliskoostööjuht ja protsessijuht). </t>
  </si>
  <si>
    <t>Allan Allmere</t>
  </si>
  <si>
    <t>IT-alusteenuste keskse osutamise korraldamise koordineerimine</t>
  </si>
  <si>
    <r>
      <rPr>
        <b/>
        <sz val="11"/>
        <color rgb="FF000000"/>
        <rFont val="Calibri"/>
        <family val="2"/>
        <charset val="186"/>
      </rPr>
      <t>Andmesaatkonna rendikulud koos elektriga on MKM kanda. Kuna ettenähtud eelarvest jäi puudu MKM-il 2023, siis 2024 saime ühekordselt raha juurde, aga tulevikuks oleks vaja püsikulude katmiseks tõsta olemasolevat eelarvet. Kulu suureneb, kuna elektrihind on läinud aastatega kallimaks ja lisaks paigaldatakse 2024 aasta rohkem riistvra saatkonna ruumidesse, mis kõiks tarbivad voolu. Andmesaatkonna teenuse kulusid teistelt haldusaladelt ei küsita ja seda makstakse MKM poolt keskselt kinni.
Mis juhtub, kui raha ei saa - Riistvara on ostetud eurorahade eest ja peab olema töös veel järgnevad viis aastat. Kui me ei suuda maksta halduskulusi näiteks elektri arveid, ei saa ka teenused püsti olla nende serverite peal.</t>
    </r>
  </si>
  <si>
    <t>Andmesaatkonna püsikulude suurendamiseks kulude kate</t>
  </si>
  <si>
    <t>Andmesaatkonnal toimub 2024 oluline riistvra suurendamine, mis tähendab, et põüsikulud kasvavad. Seadmed tarbivad rohkem vool näiteks.</t>
  </si>
  <si>
    <t>Vaatasime uue riistvara elektritarvet ja korrutasime 2023 aasta keskmise ühikuhinnaga. Seda kas ühikuhind võib muutuda, on omaküsimus. See on hetkel parim teadmine</t>
  </si>
  <si>
    <t>1. Personaalne riik
5. Küberturvalisus</t>
  </si>
  <si>
    <t>Ott Velsberg</t>
  </si>
  <si>
    <r>
      <rPr>
        <sz val="11"/>
        <color rgb="FF000000"/>
        <rFont val="Calibri"/>
        <family val="2"/>
        <charset val="186"/>
        <scheme val="minor"/>
      </rPr>
      <t xml:space="preserve">Rahastuse puudumisel MKM andmete valdkonna koordieerimise ja riigiülese elluviimisega enam ei tegele kuna puuduvad inimesed. Osalisel rahastusel tuleb valida, millega riigiüleselt tegeletakse ja millega  mitte (andmehaldus, andmete taaskasutus, tehisintellekt, andmepõhine juhtimine jms). RRF rahastusest väljumine. Tehisintellekti ja Bürokrati suunaliste tegevustega jätkamine. Kesksete tehisintellekti põhiste teenuste arendamine ja toe pakkumine asutustele rakendamisel. </t>
    </r>
  </si>
  <si>
    <t>Tehisintellekti tegevuskava elluviimine ning asutuste toetamine tehisintellekti rakendamisel ja kesksete teenuste arendamisel.</t>
  </si>
  <si>
    <r>
      <rPr>
        <sz val="11"/>
        <color rgb="FF000000"/>
        <rFont val="Calibri"/>
        <family val="2"/>
        <charset val="186"/>
        <scheme val="minor"/>
      </rPr>
      <t>Riigikorraldus on tehisintellekti poolt rikastatud – Eesti on juhtiv tehisintellekti rakendaja maailmas. Aastane kulukokkuhoid läbi automatiseerimise ja sihitumate otsuste vähemalt 5M€.</t>
    </r>
  </si>
  <si>
    <t>Digiriigi arengu osakonna andmete tiimi kahe inimese palgakulu (sh töökohakulu) ja majandamiskulud (koolitused, lähetused, töötoad, kratitoe portfelli osutamine, kommunikatsioon).</t>
  </si>
  <si>
    <t>2. AI ja andmed</t>
  </si>
  <si>
    <r>
      <rPr>
        <b/>
        <sz val="11"/>
        <color rgb="FF000000"/>
        <rFont val="Calibri"/>
        <family val="2"/>
        <charset val="186"/>
        <scheme val="minor"/>
      </rPr>
      <t xml:space="preserve">Rahastuse puudumisel MKM andmete valdkonna koordieerimise ja riigiülese elluviimisega enam ei tegele kuna puuduvad inimesed. Osalisel rahastusel tuleb valida, millega riigiüleselt tegeletakse ja millega  mitte (andmehaldus, andmete taaskasutus, tehisintellekt, andmepõhine juhtimine jms). RRF rahastusest väljumine. Andmehalduse ja avaandmete suunaliste tegevustega jätkamine. Andmehalduse ja avaandmete suunaliste tegevuste riigiülene koordineerimine ja juhtimine, sh. andmete taaskasutuse ja leitavuse toetamine ning andmekvaliteedi ja andmehalduse efektiivne rakendamine. </t>
    </r>
  </si>
  <si>
    <t>Andmete tegevuskava elluviimine ning andmehalduse valdkonna riigiülene juhtimine ja koordineerimine, sh. andmete elukäiguhalduse süsteemne rakendamine riigiüleselt ja andmete ühekordse küsimise põhimõtte rakendamine.</t>
  </si>
  <si>
    <r>
      <rPr>
        <sz val="11"/>
        <color rgb="FF000000"/>
        <rFont val="Calibri"/>
        <family val="2"/>
        <charset val="186"/>
        <scheme val="minor"/>
      </rPr>
      <t xml:space="preserve">•	Avaliku sektori organisatsioonide andmed on hallatud ja kaitstud varana – meie andmed on kvaliteetsed, kättesaadavad ja kasutatavad lähtuvalt kasutusvajadustest;
•	Lõppkasutajate (kodanike) halduskoormuse vähendamine vähemalt 70% võrrelduna 2023. aastaga läbi andmete ühekordse küsimise ja mitmekordse kasutamise printsiibi rakendamise ja taksonoomiate ühtlustamise - </t>
    </r>
    <r>
      <rPr>
        <b/>
        <sz val="11"/>
        <color rgb="FF000000"/>
        <rFont val="Calibri"/>
        <family val="2"/>
        <charset val="186"/>
        <scheme val="minor"/>
      </rPr>
      <t>kulude kokkuhoid erasektoris 140M€</t>
    </r>
    <r>
      <rPr>
        <sz val="11"/>
        <color rgb="FF000000"/>
        <rFont val="Calibri"/>
        <family val="2"/>
        <charset val="186"/>
        <scheme val="minor"/>
      </rPr>
      <t xml:space="preserve">;
•	Avaliku sektori organisatsioonides on sisse seatud efektiivne toimimismudel ja süsteemne andmehalduse korraldus;
</t>
    </r>
  </si>
  <si>
    <t>Digiriigi arengu osakonna andmete tiimi kahe inimese palgakulu (sh töökohakulu) ja majandamiskulud (koolitused, lähetused, kommunikatsioon).</t>
  </si>
  <si>
    <t>1.1.3. Inimkeskne Digiriik</t>
  </si>
  <si>
    <r>
      <rPr>
        <b/>
        <sz val="11"/>
        <color rgb="FF000000"/>
        <rFont val="Calibri"/>
        <family val="2"/>
        <charset val="186"/>
        <scheme val="minor"/>
      </rPr>
      <t xml:space="preserve">Rahastuse puudumisel MKM andmete valdkonna koordieerimise ja riigiülese elluviimisega enam ei tegele kuna puuduvad inimesed. Osalisel rahastusel tuleb valida, millega riigiüleselt tegeletakse ja millega  mitte (andmehaldus, andmete taaskasutus, tehisintellekt, andmepõhine juhtimine jms). RRF rahastusest väljumine. Usaldusväärse tehisintellekti ja inimkeskse andmekorralduse suunaliste tegevuste riigiülene koordineerimine ja juhtimine, sh. tagada, et digiriigi taristu võimaldab inimesel kui ka andmeid valdaval asutusel andmete kasutust tõhusamalt juhtida ning toetada privaatsust säilitavate tehnoloogiate rakendamist riigi üleselt. </t>
    </r>
  </si>
  <si>
    <t>Usaldusväärse tehisintellekti ja inimkeskse andmekorralduse valdkonna riigiülene koordineerimine ja juhtimine, sh. privaatsust säilitavate tehnoloogiate rakendamine.</t>
  </si>
  <si>
    <r>
      <t xml:space="preserve">· Digiriigi taristu võimaldab inimesel kui ka andmeid valdaval asutusel andmete kasutust tõhusamalt juhtida. Isikul on läbi keskse infoportaali ülevaade, milliste avalike teenuste osutamiseks milliseid andmeid on ametiasutused tema kohta kogunud ning kes ja mis eesmärkidel neid andmeid kasutab. 
· Juhul, kui inimene soovib oma andmeid jagada, on tal seda võimalik teha viisil, mis on läbipaistev ja mõistetav, turvaline kui ka säilitab otsustusõiguse. Seeläbi on soodustatud ka uuenduslike avalike ja erasektori partnerluste teke, kus kodanike kaasamine andmete jagamisse aitab kujundada tõhusamaid ja kodanike vajadusi paremini arvestavaid teenuseid. </t>
    </r>
    <r>
      <rPr>
        <b/>
        <sz val="11"/>
        <color rgb="FF000000"/>
        <rFont val="Calibri"/>
        <family val="2"/>
        <charset val="186"/>
        <scheme val="minor"/>
      </rPr>
      <t xml:space="preserve">2023 aastal genereeriti nõusolekuid enam kui 500 000 korral enam kui 20 erasektori teenuses.
</t>
    </r>
    <r>
      <rPr>
        <sz val="11"/>
        <color rgb="FF000000"/>
        <rFont val="Calibri"/>
        <family val="2"/>
        <charset val="186"/>
        <scheme val="minor"/>
      </rPr>
      <t xml:space="preserve">·	Tagatud on võimekus pakkuda personaalset teenust erineva privaatsuse tunnetusega inimestele, mis tähendab, et inimesel on suur otsustusõigus selle üle, milliseid teenuseid talle pakutakse automaatselt tema andmeid töödeldes ning milliseid mitte.
</t>
    </r>
  </si>
  <si>
    <t>Digiriigi arengu osakonna andmete tiimi ühe inimese palgakulu (sh töökohakulu) ja majandamiskulud (koolitused, lähetused, kommunikatsioon).</t>
  </si>
  <si>
    <t>Jana Korberg</t>
  </si>
  <si>
    <t>Teenused aeglased, kliendile ebamugavad, automatiseerimata; süsteemides ebapiisav funktsionaalsus ja  esineb palju vigu</t>
  </si>
  <si>
    <t>Majandustegevusteateid ja loataotlusi on võimalik esitada e-teenuste kliendikeskkonnas, vähenenud on klientide vajadus täiendava konsultatsiooni järele teenuste kasutamisel, klientide rahulolu langustrend on peatunud</t>
  </si>
  <si>
    <t>Maksumuse arvutuse aluseks on töötunni maksumus 60 EUR</t>
  </si>
  <si>
    <t>Vajadus tekib alates arenduse kasutusele võtust alates 2025 kasvavas trendis ja algselt kaetakse vana platvormi arvel.</t>
  </si>
  <si>
    <t>ET PROTSESSITOODE: Protsessijuhtimise tarkvara integreerimine e-teenuste platvormiga</t>
  </si>
  <si>
    <t>Protsessijuhtimise tarkvara on integreeritud e-teenuste platvormile, teostatud on pilootprojekt, mille õnnestumisel on loodud võimekus tarkvara kasutuselevõtmiseks (sh koolitused)</t>
  </si>
  <si>
    <t>nok</t>
  </si>
  <si>
    <t>Analüütikute poolt hinnatud töötunni maht ning tavapärane töötunni maksumus 60 EUR</t>
  </si>
  <si>
    <t>Liidestused erinevate infosüsteemidega on hajutatud, raskesti monitooritavad,  hallatavad ja arendatavad</t>
  </si>
  <si>
    <t>ET ANDMEVAHETUSTOODE: Andmevahetuse (nii siseriiklik kui ka EL) funktsionaalsuse arendamine ja konsolideerimine e-teenuste andmevahetustootesse. EL andmeliidestused on direktiivikohustuslikud.</t>
  </si>
  <si>
    <t>Arendatud on andmevahetustoote võimekus liidestuste loomiseks nii siseriiklikult kui ka EL suunal, teostatud on konkreetsed liidestused vastavalt e-teenustesse üle viidud teenuste vajadustele</t>
  </si>
  <si>
    <t>Menetluskeskkonna kasutajateekond ei toeta tööprotsessi efektiivset teostamist (protsessipõhisust, automatiseerimist, ärireeglite rakendamist).</t>
  </si>
  <si>
    <t>ET MENETLUSTOODE: kasutajateekonna analüüs ja uue disaini väljatöötamine</t>
  </si>
  <si>
    <t>Loodud on menetluskeskkonna uus kasutajateekonna disain</t>
  </si>
  <si>
    <t>Maksumuse arvutuse aluseks on töötunni maksumus 70 EUR. Planeeritud on 2200 tundi.</t>
  </si>
  <si>
    <t>Sisuteenuste toimepidevuse tagamine e-teenustele etapiviisilise ülemineku käigus</t>
  </si>
  <si>
    <t>ET Möödapääsmatute integratsioonide arendused vana ja uue infosüsteemi vahel ning andmete migratsiooniga seotud tööd</t>
  </si>
  <si>
    <t>TTJA teenused toimivad katkestusteta kogu e-teenuste platvormile ülemineku perioodi jooksul ja andmete terviklus on tagatud</t>
  </si>
  <si>
    <t>e-teenuste platvormil puudub aruannete genereerimise ja analüütika töövahend</t>
  </si>
  <si>
    <t>Andmeaida edasiarendus (vahekihtide loomine, täiendavad liidestused andmeallikatega, Tableau serveri kasutuselevõtmine aruannete kättesaadavuse loomiseks).</t>
  </si>
  <si>
    <t>On võimalik luua ja kasutada aruandeid andmeaidaga liidestatud andmekogude andmete põhjal. Kasutajad on koolitatud. On loodud võimalus aruannete esitlemiseks välisveebis.</t>
  </si>
  <si>
    <t>RIT-i keskne ATK teenus ja serveri alusteenused ei ole MKMi poolt keskselt koordineeritud ja juhitud. 
Riigiülese baasteenuse konsolideerimiseks puudub ressurss</t>
  </si>
  <si>
    <t>Arvutustaristu tehnoloogia nõuniku ja konsolideerimise programmijuhi värbamine</t>
  </si>
  <si>
    <t xml:space="preserve">RIT-i keskne ATK teenus ja serveri alusteenused on MKMi poolt keskselt koordineeritud ja juhitud. 
Riigiülese baasteenuse konsolideerimise koordineerimine </t>
  </si>
  <si>
    <t>Kahe inimese palgakulu</t>
  </si>
  <si>
    <t>4. Baasi korrastamine</t>
  </si>
  <si>
    <t>TTJA puudub võimekus UX/UI kompetentsi osas</t>
  </si>
  <si>
    <t>Kasutajateekonna (UX) kompetentsi tõstmine</t>
  </si>
  <si>
    <t>Kasutajateekonna (UX) spetsialist on värvatud</t>
  </si>
  <si>
    <t>Asutuse kulu 4000 tööjõukulu. Majandamiskulu alla on planeeritud koolitused.</t>
  </si>
  <si>
    <t>Kemitil puudub piisav IT arhitekti kompetents/ressurss ning arendustööde haldusvõimekus on ebapiisav e-teenuste projekti jaoks</t>
  </si>
  <si>
    <t>TTJA pilooti jaoks võimekuse ja kompetentsi tõstmine KEMITis</t>
  </si>
  <si>
    <t>Süsteemiarhitekt ja teenushaldur on värvatud.</t>
  </si>
  <si>
    <t>Majandamiskulu on koolitusteks.</t>
  </si>
  <si>
    <t>Puudub terviklik ülevaade klientide/kasutajate rahulolust TTJA teenustega</t>
  </si>
  <si>
    <t>Kliendi tagasiside küsitluse metoodika väljatöötamine, küsitluse disain ja teostamine</t>
  </si>
  <si>
    <t>Kliendi tagasiside küsitlus on läbi viidud</t>
  </si>
  <si>
    <t>ma rohkem kuulaja rollis</t>
  </si>
  <si>
    <t>1.1.4. Roheline digiriik</t>
  </si>
  <si>
    <t>Hetkel on kestlikkuse teemad rohelise digiriigi saavutamiseks korraldamata ja koordineerimata ning teadlikkus on madal</t>
  </si>
  <si>
    <t>Kestlikkuse tegevuste juurutamine MKMi valitsemisalas</t>
  </si>
  <si>
    <t>Kestlikkuse teadlikkus on tõusnud ja prioriteetsed tegevused planeeritud ning ellu viidud (nt koolitused, kogemuste jagamine, rohekalender, digiprügi kampaania MKMi valitsemisalas jne)</t>
  </si>
  <si>
    <t>1. Personaalik riik</t>
  </si>
  <si>
    <t>DM</t>
  </si>
  <si>
    <t>Sirli Heinsoo</t>
  </si>
  <si>
    <t>RRF rahastusest väljumine. Kogu ettevõtjatele suunatud sündmusteenuste MKMi ehk äritellija tiim on RRFist rahastud. Rahastus lõpeb ära 2025 lõpuga.  2025 aastaks loodavad  lahendused ei taga terviklikke parimaid sündmusteenuseid ning neid on vaja sisuliselt edasi arendada parimate kasutajakesksete, mugavate ja lihtsate teenuste ülemineku suunas ettevõtjatele, tagada jätkusuutlikkus toetades personaalse riigi kontseptsiooni.</t>
  </si>
  <si>
    <t xml:space="preserve">Ettevõtja sündmusteenuste jätkuarenduste ja jätkusuutlikkuse tagamine, sh laialdane koostöö hoidmine ja arendamine asutustega. Avaliku sektori asutuste toetamine sündmuspõhistele teenustele ülemineku kontseptsiooni juurutamisel ja kasutajakesksete teenuste loomise tööriistade pakkumisel. </t>
  </si>
  <si>
    <t>2026-2028. a perioodiks asutusteülese ettevõtjatele suunatud sündmusteenuste arendamise koordineerimise võimestamine RRFist loodud sündmusteenuste edasiarenduseks. Rahastuse olemasolu investeeringutele ja tööjõu- ning majandamiskuludele RRFist kuni 31.12.2025, majandamiskulu ja tööjõukulu katmiseks muudetakse minsitri käskkirja RRFi vahendite kasutamiseks kuni 31.04.2026, seetõttu 2026. a tööjõu- ja majndamiskulu lisavajadused väiksemad kui 2027 a ja 2028 a. Investeeringukulud sündmusteenuste platvormile alates 2026. a planeeritud RIA poolt.</t>
  </si>
  <si>
    <t xml:space="preserve">Võimalik vajadus äri või arhitektuuripaneeli järele, kui RIA ja teiste asutuste koostöös selgub, kuidas olemaoslevad iseteenindused keskelt kasutajani viia.  </t>
  </si>
  <si>
    <t>Digimajanduse osakonna digivärava tiimi kuue (sh jurist ja valdkonna juht) inimese palgakulu (sh töökohakulu) ja majandamiskulud (koolitused, lähetused, töötoad, kommunikatsioon), kalkuleeritud RRF perioodi reaalsete kulude pealt.</t>
  </si>
  <si>
    <t>Ei ole tegemist MKM valdkondliku digipöörde SF tegevustega.
Jätkurahastuseta ei ole võimalik personaalse riigi kontseptsiooni realiseerida.</t>
  </si>
  <si>
    <t>Puudub ülevaade, millisel määral on TTJA-s täidetud e-its nõuded</t>
  </si>
  <si>
    <t>e-its auditi hankimine ja läbiviimine</t>
  </si>
  <si>
    <t>Auditi raport on koostatud ja esitatud TTJA-le.</t>
  </si>
  <si>
    <t>Ühekordne töö. Maksumus on hinnanguline ja tugineb teiste asutuste kogemusele.</t>
  </si>
  <si>
    <t>Erko Kulu</t>
  </si>
  <si>
    <t>TERE teenus Digivaldkonna Järelevalve</t>
  </si>
  <si>
    <t>Puudub võimalus riigiasutuste vahel ressurssi jagada</t>
  </si>
  <si>
    <t>Monitooringuvõrgu  ühiskasutusplatvorm</t>
  </si>
  <si>
    <t>TTJA monitooringuvõrgu ressurss on jagatav  riigi julgeolekuasutuste vahel</t>
  </si>
  <si>
    <t>Investeering Monitooringuvõrgu  ühiskasutusplatvorm.  Projekti esimene faas on saanud heakskiidu 2024 SR  vahenditest</t>
  </si>
  <si>
    <t>4. Baasi korrastamine.</t>
  </si>
  <si>
    <t>TERE teenus Digiühiskonna  järelevalve</t>
  </si>
  <si>
    <t>Võib katkeda riiklik olukorra pilt GPS  kasutamisest  ja ei ole tuvastatavad küberründed GPS süsteemile</t>
  </si>
  <si>
    <t>GPS häirete reaalajas olukorra pildi teenus</t>
  </si>
  <si>
    <t xml:space="preserve"> Riikliku olukorrapilldi saamine GPS navigatsioonisüsteemide kasutatavusest ja häiretes Eesti territooriumil</t>
  </si>
  <si>
    <t>GPS häirete reaalajas olukorra pildi teenus,halduskulu</t>
  </si>
  <si>
    <t xml:space="preserve"> Investeering Digiühiskonna programm</t>
  </si>
  <si>
    <t>Väheneb võimekus tuvastada ja lokaliseerida piirialadel häireid sidevõrkudes, kuna olemaolev tehnika on amortiseerub</t>
  </si>
  <si>
    <t>Mobiilse monitooringujaama soetamine</t>
  </si>
  <si>
    <t>Mobiilse monitooringujaama uuendamine koos   paigaldatavate  positsioneerimisvahendite väljavahetamisega, paraneb oluliselt raadioeetri küberrünnete positsioneerimine ja pahalase tuvastamine</t>
  </si>
  <si>
    <t>Mobiilse monitooringujaama soetamine,mille käigus  vahetatakse välja paigaldatud  positsioneerimisvahendid, paraneb oluliselt raadioeetri küberrünnete positsioneerimine ja pahalase tuvastamine</t>
  </si>
  <si>
    <t>Oliver Gailan</t>
  </si>
  <si>
    <t>2.2. Juurdepääsuvõrkude väljaarendamine</t>
  </si>
  <si>
    <t>TERE teenus Digiühiskonna Järelevalve</t>
  </si>
  <si>
    <t>Puudub võimekus alates 2026 teha järelevalvet riigi ja EL toega rajatud kiire interneti võrkudele võrdse juurdepääsu tagamise üle</t>
  </si>
  <si>
    <t>Toetusmeetmetest rajatud kiire interneti võrkude juurdepääsutingimuste järelevalve</t>
  </si>
  <si>
    <t>Toetusmeetmetest rajavad operaatorineutraalseid võrke paljud sideettvõtted  ning reeglite kohaselt jääb neile kestma võrkude juurdepääsu andmise ja hinnakohustus. Ohuprognoos ja esinenud näited kinnitavad, et tingimuste täitmisega on probleeme ning  teha järelevalvet tulemuseks ühenduvuse säilimine.</t>
  </si>
  <si>
    <t>1 töötaja tööjõukulu s.h. töökoha kulu</t>
  </si>
  <si>
    <t>6. Mittesõjalised riigikaitselised IKT vajadused.</t>
  </si>
  <si>
    <t>Vajalik salastatud teabe vahetamiseks  turvalise sidekanali kaudu</t>
  </si>
  <si>
    <t>Ametkondade vahelise andmesidevõrgu (ATA) krüptoseadme soetamine</t>
  </si>
  <si>
    <t>Asutuste vaheline RS teabe vahetamine on turvaline</t>
  </si>
  <si>
    <t>Krüptoseade , hinnaguline maksumus</t>
  </si>
  <si>
    <t>Baaseelarve</t>
  </si>
  <si>
    <t>+km</t>
  </si>
  <si>
    <t>3. SF tegevus, mis vajab jätkusuutlikkuse kulusid ja need on eraldi real välja toodud</t>
  </si>
  <si>
    <t>Reserv (SR)</t>
  </si>
  <si>
    <t>SF 14-20 (töös olev projekt)</t>
  </si>
  <si>
    <t>3. teadlikkuse tõstmine</t>
  </si>
  <si>
    <t>1.2.6. Avatud innovatsioon ja digiriigi kogukonna arendamine</t>
  </si>
  <si>
    <t>1.2.8. Sihitud väliskoostöö</t>
  </si>
  <si>
    <t>2.1. Ajakohane ja ettevaatav õigusruum</t>
  </si>
  <si>
    <t>2.3. 5G- ja 6G-baastaristu arendamine</t>
  </si>
  <si>
    <t>Olemasolevad vahendid</t>
  </si>
  <si>
    <t>2.4. Uudsete sisu- ja äriteenuste arendus</t>
  </si>
  <si>
    <t>3.2. Suundumiste, riskide ja mõjude analüüsivõime</t>
  </si>
  <si>
    <t>Valdkonna digipööre</t>
  </si>
  <si>
    <t>Kokku</t>
  </si>
  <si>
    <t>Puudu olev jätkusuutlikkuse RES rahastus</t>
  </si>
  <si>
    <t>Algtase</t>
  </si>
  <si>
    <t>Lõpptase</t>
  </si>
  <si>
    <t>Lõpptase 2030</t>
  </si>
  <si>
    <t>Panustab arengukava suundadesse</t>
  </si>
  <si>
    <t>Meetme toetatavad tegevused</t>
  </si>
  <si>
    <t>Algatuse nimi</t>
  </si>
  <si>
    <t>2023 eelarve</t>
  </si>
  <si>
    <t>Kalkulatsioon ja  allika põhjendus</t>
  </si>
  <si>
    <t>Jätkusuutlikkuse kulu</t>
  </si>
  <si>
    <t>Kommentaar</t>
  </si>
  <si>
    <t>2023 eelarve täitmine</t>
  </si>
  <si>
    <t>2023 täitmise aruanne / sisu kirjeldus / põhjendused</t>
  </si>
  <si>
    <t>Valdkond, osakond, kes elluviija juures teema eest vastutab.</t>
  </si>
  <si>
    <t xml:space="preserve">Täita kõikide ridade puhul.
Kui mitme aastane tegevus/projekt, siis kirjutada välja vähemalt 2024. ja 2025. aasta tulemus ning lõpptulemus.
RES lisavajadustel tuua välja, mida mingi aasta RES rahade eest ära tehakse. Kui lisavajadus on kogu perioodiks ja kulud on aasta-aastalt sama, siis näiteks:
2025-2028 - SF-st arendatu hoolduskulu, väikearendused, majutus riigipilves, jne.
Kui tegevused on aastati erinevad, siis tuua need välja järgmiselt:
2025 - 
2026 - 
2027 -
2028 - </t>
  </si>
  <si>
    <t>Anda hinnang, kas on vajadus äri-, andmete-, arhitektuuri-, või muu paneeli järele</t>
  </si>
  <si>
    <t>Seireküsimused (SF tegevustele):
1. Mis sai 2023. aastal tehtud?
2. Mis jäi 2023. aastal tegemata? Miks jäi tegemata?
3. Kas tegemata jäänud tegevus jäetaksegi tegemata, või lükkub edasi järgmisse perioodi?
4. Mis oli paneeli (andme-, äri, arhitektuuri-) tagasiside ja kas paneeli nõuded on täidetud?
5. Mis ettevalmistavaid tegevusi tehti 2023. aastal 2024, või hiljem algavate algatuste/tegevuste tarvis?
6. Mida on jõutud teha 2024. aasta alguses?</t>
  </si>
  <si>
    <t>Tegime TTJA ja KEMITiga ühise ajurünnaku. Koostöös teiste valitsemisaladega oleme ka mõtteid vahetanud, nt SOM teeb seda. MKMil oleks plaan see võimalusel üle võtta või mustandiks saada. Teenusepõhisele juhtimisele üleminek ootab juhtkonna accepti.</t>
  </si>
  <si>
    <t>Hetkel ei ole vajadust olnud raha planeerida ja on oma vahenditest tehtud. Lisaks ka muutused asekantsleriga on tinginud tegevuste planeerimist.</t>
  </si>
  <si>
    <t>Täpsemad tegevused veel selguvad.</t>
  </si>
  <si>
    <t>Tähtaeg on 30.04. Zip failis on vahearuanne.</t>
  </si>
  <si>
    <t>Värvatud on teenuste valdkonna juht. Kuna analüütikute konkurss esmalt kukkus läbi, siis kasutati sihtotsingu firmat ning analüütikud alustasid jaanuaris 2024 tööd.</t>
  </si>
  <si>
    <t>Tegevus käib jaa esmane visoon on tekkinud. TERE teenuste sisend ja 0-eelarvest sisendit on arvestatud. Ajakavas on muutunud kuna DÜAKi uuendamise nihkumisega seotud programmipuu muudatusi ei saa teha, enne kui uus DÜAK on olemas.</t>
  </si>
  <si>
    <t>On käivitatud ja raha ei ole kulutatud.</t>
  </si>
  <si>
    <t>Kristo Vaher konsulteeris ja toote strukuur on loodud. Info zip failis.</t>
  </si>
  <si>
    <t>Olemas on arendushanke sisend, aga pakkumist ei tulnud. Nüüd tehakse hange ringi, vähendame hanke mahtu, et jõuda tähtaega, mis on 16.06.</t>
  </si>
  <si>
    <t>Teenuste valdkonna juht on värvatud</t>
  </si>
  <si>
    <t>Hange on üleval registris.</t>
  </si>
  <si>
    <t>Hange on kokku pandud ja ootab KEMITis õigusosakonna kinnitust.</t>
  </si>
  <si>
    <t>Projektijuht värvati, alustas tööd 15.04 ja töösuhe lõppes 19.04 (sai parema pakkumise).</t>
  </si>
  <si>
    <t>Tavahaldus on töös.</t>
  </si>
  <si>
    <t>Pole veel otsima hakatud. Eeldus värbamisele on, et lõppeb protsessitarkvara ostmise analüüs ja valiku alusel saab inimest otsida. (vt rida 38)</t>
  </si>
  <si>
    <t>Vt rida 49</t>
  </si>
  <si>
    <t>1. Tegevus sisaldab jätkusuutlikkuse kulusid ja need on samal real välja toodud.</t>
  </si>
  <si>
    <t>2. Tegevus on jätkusuutlikkuse kulu</t>
  </si>
  <si>
    <t>3. Tegevus, mis vajab jätkusuutlikkuse kulusid ja need on eraldi real välja toodud</t>
  </si>
  <si>
    <t>4. Tegevus, mis vajab jätkusuutlikkuse kulusid, aga neid pole välja arvutatud ja eraldi real välja toodud</t>
  </si>
  <si>
    <t>5. Tegevus, mis ei vaja jätkusuutlikkuse kulusid.</t>
  </si>
  <si>
    <t>Majandus-ja Kommunikatsiooniministeeriumi valdkondlik digipööre</t>
  </si>
  <si>
    <t>Panus Eesti 2035 näitajatesse: Sooline võrdõiguslikkus, hoolivus ja koostöömeelsus, ligipääsevatus, KOV rahulolu teenusega</t>
  </si>
  <si>
    <t>Seos DA 2030 arengukavaga -peab olema välja toodud DA 2030 rahulolu mõõdik ning metoodika, kuidas parim kasutajakogemus saavutatakse.</t>
  </si>
  <si>
    <t xml:space="preserve">Seos vastava valdkonna arengukavaga </t>
  </si>
  <si>
    <t>Tegevuse seos rakenduskava poliitikaeesmärk 1 „Nutikam Eesti“ erieesmärgi „digitaliseerimisest kasu toomine kodanike, ettevõtjate, teadusasutuste ja avaliku sektori asutuste jaoks"  kasusaajaga</t>
  </si>
  <si>
    <t>Tegevuse põhjendatus - tegevus on seotud TAT eesmärkide ja tulemuste saavutamisega ning on läbinud koordineerija nõustamise kontroll-lehtede alusel</t>
  </si>
  <si>
    <t>Tegevuse kuluefektiivsus -tegevuse hinnastamisel on arvestatud parimaid praktikaid ja üldist tava (nt hangete raamlepingu hindasid, personalil Fontese uuringuid jms)</t>
  </si>
  <si>
    <t>Tegevuse elluviija suutlikkus tegevust ellu viia - arvestatud on elluviija või partneri varasemat kogemusi ja võimekust</t>
  </si>
  <si>
    <t>Elluviija: Majandus-ja Kommunikatsiooniministeerium</t>
  </si>
  <si>
    <t>x</t>
  </si>
  <si>
    <t>2. Küberruumi hoidmine, arendamine ja juurutamine usaldusväärse ja turvalisena</t>
  </si>
  <si>
    <t>3. Teadlikkuse tõstmine (teadlikkuse tõstmine punktides 3.1.1., 3.1.2. ja 3.1.4. nimetatud tegevuste osas, sealhulgas elluviija ja partnerite teadlikkuse tõstmine )</t>
  </si>
  <si>
    <t>4. Muu digipöördega seotud otsene kulu (valdkondliku digipöörde elluviimisega seotud tegevused)</t>
  </si>
  <si>
    <t>EELARVE KOKKU</t>
  </si>
  <si>
    <t>2023
algtase</t>
  </si>
  <si>
    <t>2024
sihttase</t>
  </si>
  <si>
    <t>2025
sihttase</t>
  </si>
  <si>
    <t>2026
sihttase</t>
  </si>
  <si>
    <t>2027
sihttase</t>
  </si>
  <si>
    <t>2028
sihttase</t>
  </si>
  <si>
    <t>2029
sihttase</t>
  </si>
  <si>
    <t>2030
lõpptase</t>
  </si>
  <si>
    <t>Valdkondliku digipöörde tegevuskava – Majandus-ja Kommunikatsiooniministeerium</t>
  </si>
  <si>
    <r>
      <t>Digipöörde eesmärk:</t>
    </r>
    <r>
      <rPr>
        <sz val="11"/>
        <color theme="1"/>
        <rFont val="Calibri"/>
        <family val="2"/>
        <charset val="186"/>
        <scheme val="minor"/>
      </rPr>
      <t> </t>
    </r>
  </si>
  <si>
    <t xml:space="preserve">Digipööre: 
- MKMi digipöörde toel jõuavad aastaks 2030 avalikud teenused kasutajateni optimaalse väärtusega ja on tõhusa riigivalitsemise tulemusena jätkusuutlikult rahastatud (ka ilma välisvahenditeta).  
- Strateegilise taseme tehnoloogia juhtimise võimekus on tõusnud ning IT-arendus lähtub ärivajadustest.  
- Kvaliteet on tagatud ja mõõdetav.  
- Teenuseid arendatakse pidevalt, kriisis on uusi teenuseid võimalik päevadega käima saada.  
- Teenused peegeldavad hea avaliku teenuse põhimõtteid. </t>
  </si>
  <si>
    <r>
      <t>Digipöörde tegevuskava eesmärk:</t>
    </r>
    <r>
      <rPr>
        <sz val="11"/>
        <color theme="1"/>
        <rFont val="Calibri"/>
        <family val="2"/>
        <charset val="186"/>
        <scheme val="minor"/>
      </rPr>
      <t> </t>
    </r>
  </si>
  <si>
    <t>2024-2025 tegevuskava on kõikide digipöörde suundade osas vastavalt hetkeolukorrale 2024 tegevused ellu viia. Tegevused on planeeritud ka asutuste 2024 tööplaanidesse. Lisaks on TTJA piloodis ning 2024 kliendikeskkonnad arendamine vastavalt teekaardile.</t>
  </si>
  <si>
    <t xml:space="preserve">Majandus-ja Kommunikatsiooniministeeriumi valdkondliku digipöörde 2023-2024 maksumus ilma käibemaksuta: </t>
  </si>
  <si>
    <r>
      <t>Kokku</t>
    </r>
    <r>
      <rPr>
        <sz val="11"/>
        <rFont val="Calibri"/>
        <family val="2"/>
        <charset val="186"/>
        <scheme val="minor"/>
      </rPr>
      <t> </t>
    </r>
  </si>
  <si>
    <r>
      <t>2023</t>
    </r>
    <r>
      <rPr>
        <sz val="11"/>
        <rFont val="Calibri"/>
        <family val="2"/>
        <charset val="186"/>
        <scheme val="minor"/>
      </rPr>
      <t> </t>
    </r>
  </si>
  <si>
    <r>
      <t>2024</t>
    </r>
    <r>
      <rPr>
        <sz val="11"/>
        <rFont val="Calibri"/>
        <family val="2"/>
        <charset val="186"/>
        <scheme val="minor"/>
      </rPr>
      <t> </t>
    </r>
  </si>
  <si>
    <r>
      <t>Olemasolevad vahendid</t>
    </r>
    <r>
      <rPr>
        <sz val="11"/>
        <rFont val="Calibri"/>
        <family val="2"/>
        <charset val="186"/>
        <scheme val="minor"/>
      </rPr>
      <t> </t>
    </r>
  </si>
  <si>
    <r>
      <t>SF 2021-2027</t>
    </r>
    <r>
      <rPr>
        <sz val="11"/>
        <rFont val="Calibri"/>
        <family val="2"/>
        <charset val="186"/>
        <scheme val="minor"/>
      </rPr>
      <t> </t>
    </r>
  </si>
  <si>
    <r>
      <t>RES 2024-2027</t>
    </r>
    <r>
      <rPr>
        <sz val="11"/>
        <rFont val="Calibri"/>
        <family val="2"/>
        <charset val="186"/>
        <scheme val="minor"/>
      </rPr>
      <t> </t>
    </r>
  </si>
  <si>
    <t>Majandus-ja Kommunikatsiooniministeeriumi valdkondliku digipöörde 2023-2025 SF 2021-2027 toetuse summa koos käibemaksuga</t>
  </si>
  <si>
    <r>
      <t>2025</t>
    </r>
    <r>
      <rPr>
        <sz val="11"/>
        <rFont val="Calibri"/>
        <family val="2"/>
        <charset val="186"/>
        <scheme val="minor"/>
      </rPr>
      <t> </t>
    </r>
  </si>
  <si>
    <t>Ministeerium (elluviija) /
partner</t>
  </si>
  <si>
    <t>Rahastuse allikas / meetme tegevus (SF)</t>
  </si>
  <si>
    <t>2023 kokku</t>
  </si>
  <si>
    <t>2024 kokku</t>
  </si>
  <si>
    <t>2025 kokku</t>
  </si>
  <si>
    <t>(EA konto)</t>
  </si>
  <si>
    <t>KOKKU</t>
  </si>
  <si>
    <t>Summa koos käibemaksuga:</t>
  </si>
  <si>
    <r>
      <t>Liikide lõikes</t>
    </r>
    <r>
      <rPr>
        <sz val="10"/>
        <color rgb="FF040C0C"/>
        <rFont val="Calibri"/>
        <family val="2"/>
        <charset val="186"/>
        <scheme val="minor"/>
      </rPr>
      <t>​</t>
    </r>
  </si>
  <si>
    <t>Eelarve täitmine 31.12.2023</t>
  </si>
  <si>
    <r>
      <t>Eelarve</t>
    </r>
    <r>
      <rPr>
        <sz val="10"/>
        <color rgb="FF000000"/>
        <rFont val="Calibri"/>
        <family val="2"/>
        <charset val="186"/>
        <scheme val="minor"/>
      </rPr>
      <t>​</t>
    </r>
  </si>
  <si>
    <r>
      <t>Täitmine</t>
    </r>
    <r>
      <rPr>
        <sz val="10"/>
        <color rgb="FF000000"/>
        <rFont val="Calibri"/>
        <family val="2"/>
        <charset val="186"/>
        <scheme val="minor"/>
      </rPr>
      <t>​</t>
    </r>
  </si>
  <si>
    <r>
      <t>Jääk</t>
    </r>
    <r>
      <rPr>
        <sz val="10"/>
        <color rgb="FF000000"/>
        <rFont val="Calibri"/>
        <family val="2"/>
        <charset val="186"/>
        <scheme val="minor"/>
      </rPr>
      <t>​</t>
    </r>
  </si>
  <si>
    <r>
      <t>Täitmise %</t>
    </r>
    <r>
      <rPr>
        <sz val="10"/>
        <color rgb="FF000000"/>
        <rFont val="Calibri"/>
        <family val="2"/>
        <charset val="186"/>
        <scheme val="minor"/>
      </rPr>
      <t>​</t>
    </r>
  </si>
  <si>
    <t>Kokku​</t>
  </si>
  <si>
    <t>Riigieelarve​</t>
  </si>
  <si>
    <t>Välistoetused​</t>
  </si>
  <si>
    <t>Muud​</t>
  </si>
  <si>
    <r>
      <t>Majandusliku sisu lõikes</t>
    </r>
    <r>
      <rPr>
        <sz val="10"/>
        <color rgb="FF000000"/>
        <rFont val="Calibri"/>
        <family val="2"/>
        <charset val="186"/>
        <scheme val="minor"/>
      </rPr>
      <t>​</t>
    </r>
  </si>
  <si>
    <t>Investeeringud​</t>
  </si>
  <si>
    <t>Tööjõukulud</t>
  </si>
  <si>
    <t>​Majandamiskulud​</t>
  </si>
  <si>
    <t>​Toetused ja muud</t>
  </si>
  <si>
    <t>2024 eelarve</t>
  </si>
  <si>
    <r>
      <t>Liikide lõikes</t>
    </r>
    <r>
      <rPr>
        <sz val="10"/>
        <color rgb="FF000000"/>
        <rFont val="Calibri"/>
        <family val="2"/>
        <charset val="186"/>
        <scheme val="minor"/>
      </rPr>
      <t>​</t>
    </r>
  </si>
  <si>
    <r>
      <t>Majandusliku sisu lõikes</t>
    </r>
    <r>
      <rPr>
        <sz val="10"/>
        <color rgb="FF000000"/>
        <rFont val="Calibri"/>
        <family val="2"/>
        <charset val="186"/>
        <scheme val="minor"/>
      </rPr>
      <t>​</t>
    </r>
  </si>
  <si>
    <t>Personali muutus</t>
  </si>
  <si>
    <r>
      <t>Valitsemisala IKT töötajate arv</t>
    </r>
    <r>
      <rPr>
        <sz val="11"/>
        <color rgb="FF000000"/>
        <rFont val="Raleway"/>
        <charset val="186"/>
      </rPr>
      <t>​</t>
    </r>
  </si>
  <si>
    <r>
      <t>01.01.2025*</t>
    </r>
    <r>
      <rPr>
        <sz val="11"/>
        <color rgb="FF000000"/>
        <rFont val="Raleway"/>
        <charset val="186"/>
      </rPr>
      <t>​</t>
    </r>
  </si>
  <si>
    <r>
      <t>01.01.2026*</t>
    </r>
    <r>
      <rPr>
        <sz val="11"/>
        <color rgb="FF000000"/>
        <rFont val="Raleway"/>
        <charset val="186"/>
      </rPr>
      <t>​</t>
    </r>
  </si>
  <si>
    <r>
      <t>01.01.2027*</t>
    </r>
    <r>
      <rPr>
        <sz val="11"/>
        <color rgb="FF000000"/>
        <rFont val="Raleway"/>
        <charset val="186"/>
      </rPr>
      <t>​</t>
    </r>
  </si>
  <si>
    <t>Töötajate arv ​</t>
  </si>
  <si>
    <t>Kasv​ (%, võrrelduna eelmise aastaga)</t>
  </si>
  <si>
    <t>* Prognoos</t>
  </si>
  <si>
    <t>Seisuga 01.01.2023</t>
  </si>
  <si>
    <t>Seisuga 01.01.2024</t>
  </si>
  <si>
    <t>IKT Personal</t>
  </si>
  <si>
    <t>Täidetud/olemas</t>
  </si>
  <si>
    <t>Täitmata</t>
  </si>
  <si>
    <t>andmekorraldusanalüütik​</t>
  </si>
  <si>
    <t>andmekvaliteedi kontrolli spetsialist​</t>
  </si>
  <si>
    <t>andmelao arendaja​</t>
  </si>
  <si>
    <t>jurist - ei ole kavas lähiajal täita​</t>
  </si>
  <si>
    <t>projektijuht​</t>
  </si>
  <si>
    <t>rakenduste administraator​</t>
  </si>
  <si>
    <t>riskijuht​</t>
  </si>
  <si>
    <t>süsteemiadministraator​</t>
  </si>
  <si>
    <t>tarkvara arhitekt​</t>
  </si>
  <si>
    <t>testija​</t>
  </si>
  <si>
    <t>tooteomanik​</t>
  </si>
  <si>
    <t>…</t>
  </si>
  <si>
    <t>NB! Tabelis tuua välja valitsemisala kõik IKT ametikohad. Vajadusel lisada ridu juurde.</t>
  </si>
  <si>
    <t>Andmeturve</t>
  </si>
  <si>
    <t>Analüütik (teabe)</t>
  </si>
  <si>
    <t>Arvutigraafika</t>
  </si>
  <si>
    <t>Andmeanalüüs</t>
  </si>
  <si>
    <t>Juhtimine</t>
  </si>
  <si>
    <t xml:space="preserve">Andmeanalüüs ja -seire </t>
  </si>
  <si>
    <t>Konsultandid</t>
  </si>
  <si>
    <t>Andmebaasiadministratsioon</t>
  </si>
  <si>
    <t>Projektijuhtimine</t>
  </si>
  <si>
    <t>Andmehaldur</t>
  </si>
  <si>
    <t>Süsteemiadministratsioon</t>
  </si>
  <si>
    <t>Andmeteadur (teabe)</t>
  </si>
  <si>
    <t>Süsteemianalüüs</t>
  </si>
  <si>
    <t>DEVOPS</t>
  </si>
  <si>
    <t>Süsteemiarhitektuur</t>
  </si>
  <si>
    <t>Haldus</t>
  </si>
  <si>
    <t>Tarkvara programmeerimine</t>
  </si>
  <si>
    <t>Helpdesk</t>
  </si>
  <si>
    <t>Teenuste tugi</t>
  </si>
  <si>
    <t>infoturbe logianalüütik</t>
  </si>
  <si>
    <t>Testimine</t>
  </si>
  <si>
    <t>Infoturbespetsialist</t>
  </si>
  <si>
    <t>IS haldur</t>
  </si>
  <si>
    <t>IS ärianalüütik</t>
  </si>
  <si>
    <t>IT analüütik</t>
  </si>
  <si>
    <t>Klienditeenindus</t>
  </si>
  <si>
    <t>küber pääsuhalduste spetsialist</t>
  </si>
  <si>
    <t>Küberinsener</t>
  </si>
  <si>
    <t>küberintsidentide haldur</t>
  </si>
  <si>
    <t>Küberkaitse spetsialist</t>
  </si>
  <si>
    <t>Masinõpe</t>
  </si>
  <si>
    <t>Rakenduse administraator</t>
  </si>
  <si>
    <t>Registripidaja</t>
  </si>
  <si>
    <t>Tarneinsener</t>
  </si>
  <si>
    <t>Teenuseomanik</t>
  </si>
  <si>
    <t xml:space="preserve">Tootejuhtimine </t>
  </si>
  <si>
    <t>Projekti/tegevuse nimi</t>
  </si>
  <si>
    <t>Digipöörde elluviimisega seotud personal tööperede lõikes</t>
  </si>
  <si>
    <t xml:space="preserve">Digipöörde elluviimisega seotud personal tööperede lõikes </t>
  </si>
  <si>
    <t>Mis aastal on plaanis värvata?</t>
  </si>
  <si>
    <t xml:space="preserve">Kas on võtmetähtsusega? </t>
  </si>
  <si>
    <t>Kas töötaja on olemas või tuleb värvata?</t>
  </si>
  <si>
    <t>Aastane palgakulu</t>
  </si>
  <si>
    <t>Või kas roll on plaanis teenusena sisse osta?</t>
  </si>
  <si>
    <t>Teenusena sisse ostmisel maksumus</t>
  </si>
  <si>
    <t>Kui pikaks ajaks inimene värvatakse, roll teenusena sisse ostetakse?</t>
  </si>
  <si>
    <t>Milline on koormus digipöördes?</t>
  </si>
  <si>
    <t>Värvatud või teenusena sisse ostetutud töötaja rahastamise allikas</t>
  </si>
  <si>
    <t>("2a tegevuskava" lehe J veerg)</t>
  </si>
  <si>
    <t>(Tööpere nimetus, iga töötaja eraldi real)</t>
  </si>
  <si>
    <t>(Tööpere taseme number)</t>
  </si>
  <si>
    <t>(Tööpere nimetuse täpsustav selgitus)</t>
  </si>
  <si>
    <t>(märkida x-ga)</t>
  </si>
  <si>
    <t>(Jah/Ei)</t>
  </si>
  <si>
    <t>(On olemas / Tuleb värvata
tööjõukulu, 50)</t>
  </si>
  <si>
    <t>(olemasolev töötaja, või värvatav)</t>
  </si>
  <si>
    <t>(Jah / EI
majandamiskulu, 55)</t>
  </si>
  <si>
    <t>Kui lühiajaline (alla aasta), siis kogu maksumus, kui pikemaajaline (üle 1 aasta), siis aasta maksumus)</t>
  </si>
  <si>
    <t>(kuuks ajaks, aastaks, kogu digipöörde ajaks, jne)</t>
  </si>
  <si>
    <t>(% tööajast)</t>
  </si>
  <si>
    <t>(Baaseelarve/SF)</t>
  </si>
  <si>
    <t>Täpsem tööpere selgub hetkeolukorra analüüsist</t>
  </si>
  <si>
    <t>Jah</t>
  </si>
  <si>
    <t>Värvatud 1, Andmete valdkonna juht värbamisel 2024</t>
  </si>
  <si>
    <t>1 teenuse valdkonna juht ca 50 000 aastas, andmete valdkonnajuht värvatakse ja tema täpsem palgakulu alles selgub 2024</t>
  </si>
  <si>
    <t>3 aastat, nagu hetkel lubatud</t>
  </si>
  <si>
    <t>IT üldtööd</t>
  </si>
  <si>
    <t>Tippspetsialistid analüütika, protsesside, testimise jmt osas</t>
  </si>
  <si>
    <t>Värvatud</t>
  </si>
  <si>
    <t>3 analüütikut kokku 155000 eur/aastas</t>
  </si>
  <si>
    <t>ei</t>
  </si>
  <si>
    <t>TTJA võimestamine digipöörde elluviimiseks (analüütikud, koolitused) (2021-27 SF)</t>
  </si>
  <si>
    <t>1 teenuse valdkonna juht ca 65 000 (ei ole senditäpsusega)</t>
  </si>
  <si>
    <t>Värbamisel</t>
  </si>
  <si>
    <t>1 projektijuht ca 60 000 eur/aasta</t>
  </si>
  <si>
    <t>kogu digipöörde ajaks</t>
  </si>
  <si>
    <t>Tuleb värvata</t>
  </si>
  <si>
    <r>
      <rPr>
        <sz val="11"/>
        <color rgb="FF000000"/>
        <rFont val="Calibri"/>
        <family val="2"/>
        <charset val="186"/>
        <scheme val="minor"/>
      </rPr>
      <t xml:space="preserve">1 protsessijuhtimise tarkvara tooteomanik (administraator) 58000 eur/aasta </t>
    </r>
    <r>
      <rPr>
        <sz val="11"/>
        <color rgb="FFFF0000"/>
        <rFont val="Calibri"/>
        <family val="2"/>
        <charset val="186"/>
        <scheme val="minor"/>
      </rPr>
      <t>(TTJA)</t>
    </r>
  </si>
  <si>
    <r>
      <rPr>
        <sz val="11"/>
        <color rgb="FF000000"/>
        <rFont val="Calibri"/>
        <family val="2"/>
        <charset val="186"/>
        <scheme val="minor"/>
      </rPr>
      <t xml:space="preserve">Kasutajateekonna (UX) spetsialist ca 65000 aastas </t>
    </r>
    <r>
      <rPr>
        <sz val="11"/>
        <color rgb="FFFF0000"/>
        <rFont val="Calibri"/>
        <family val="2"/>
        <charset val="186"/>
        <scheme val="minor"/>
      </rPr>
      <t>(TTJA)</t>
    </r>
  </si>
  <si>
    <r>
      <rPr>
        <sz val="11"/>
        <color rgb="FF000000"/>
        <rFont val="Calibri"/>
        <family val="2"/>
        <charset val="186"/>
        <scheme val="minor"/>
      </rPr>
      <t xml:space="preserve">1 süsteemiarhitekt ja 1 teenushaldur (155000/aastas) </t>
    </r>
    <r>
      <rPr>
        <sz val="11"/>
        <color rgb="FFFF0000"/>
        <rFont val="Calibri"/>
        <family val="2"/>
        <charset val="186"/>
        <scheme val="minor"/>
      </rPr>
      <t>(TTJA)</t>
    </r>
  </si>
  <si>
    <t>Kui väljad on täidetud ebakorrektselt või jäetud tühjaks, siis on rahandusministeeriumil õigus materjal tagastada parandusteks/täiendusteks</t>
  </si>
  <si>
    <t>Valitsemisala</t>
  </si>
  <si>
    <t>Programm</t>
  </si>
  <si>
    <t>Programmi tegevus</t>
  </si>
  <si>
    <t>Õigusakti nimi</t>
  </si>
  <si>
    <t>Õigusakti liik (siseriiklik, EL määrus/otsused, muu rahvusvaheline)</t>
  </si>
  <si>
    <t>Õigusakti lühike arusaadav sisukirjeldus</t>
  </si>
  <si>
    <t>Link õigusaktile või selle menetlusele</t>
  </si>
  <si>
    <t>Õigusakti heaks kiitmise otsus VVs</t>
  </si>
  <si>
    <t>Õigusakti vastuvõtmise aeg</t>
  </si>
  <si>
    <t>Õigusakti jõustumise aeg</t>
  </si>
  <si>
    <t>Lisavahendite majanduslik sisu (tööjõukulu, majandamiskulu, (IT)investeering)</t>
  </si>
  <si>
    <t xml:space="preserve">Ajaliselt piiritletud või püsiv kulu
</t>
  </si>
  <si>
    <t>2025 lisavajadus</t>
  </si>
  <si>
    <t>2026 lisavajadus</t>
  </si>
  <si>
    <t>2027 lisavajadus</t>
  </si>
  <si>
    <t>2028 lisavajadus</t>
  </si>
  <si>
    <t xml:space="preserve">KOKKU 2025-2028
</t>
  </si>
  <si>
    <t xml:space="preserve">Kulude arvestuse alused 
</t>
  </si>
  <si>
    <r>
      <rPr>
        <b/>
        <sz val="12"/>
        <color rgb="FF000000"/>
        <rFont val="Times New Roman"/>
        <family val="1"/>
        <charset val="186"/>
      </rPr>
      <t xml:space="preserve">Väljavõte (täpne kopeering)  õigusakti seletuskirjast kulude/investeeringute kohta, sh katteallika selgitus. </t>
    </r>
    <r>
      <rPr>
        <b/>
        <u/>
        <sz val="12"/>
        <color rgb="FF000000"/>
        <rFont val="Times New Roman"/>
        <family val="1"/>
        <charset val="186"/>
      </rPr>
      <t xml:space="preserve">EL direktiivi </t>
    </r>
    <r>
      <rPr>
        <b/>
        <sz val="12"/>
        <color rgb="FF000000"/>
        <rFont val="Times New Roman"/>
        <family val="1"/>
        <charset val="186"/>
      </rPr>
      <t>puhul kopeerida konkreetne lõik, mis kirjeldab kohustust, tegevust vms.</t>
    </r>
  </si>
  <si>
    <t>Lisataotluse sisestaja nimi</t>
  </si>
  <si>
    <t>Digiühiskond</t>
  </si>
  <si>
    <t>Digiriigi arenguhüpped</t>
  </si>
  <si>
    <t>AvTS (sündmusteenus)</t>
  </si>
  <si>
    <t>siseriiklik</t>
  </si>
  <si>
    <t>Isikustatud teabe kuvamiseks antakse õiguslik alus ja reguleeritakse selles osas sündmusteenuse keskse platvormi tööd.</t>
  </si>
  <si>
    <t>Meil hetkel DELTAs (lisame EISi lingi hiljem)</t>
  </si>
  <si>
    <t>III pa 2024 (eelduslikult)</t>
  </si>
  <si>
    <t>2025 alguses (eelduslikult)</t>
  </si>
  <si>
    <t>eeldatav aeg veebruaris 2025</t>
  </si>
  <si>
    <t>majandus- ja tööjõukulu</t>
  </si>
  <si>
    <t>püsiv</t>
  </si>
  <si>
    <t>Töötasu ja majanduskulu</t>
  </si>
  <si>
    <t>AvTS (sündmusteenused) seletuskiri p 7.</t>
  </si>
  <si>
    <t>Ingrid Kuusik, Stina Avvo</t>
  </si>
  <si>
    <t>MKM/RIA</t>
  </si>
  <si>
    <t>Sündmusteenused</t>
  </si>
  <si>
    <t>II pa 2024 (eelduslikult)</t>
  </si>
  <si>
    <t>tööjõukulu- ja majandamiskulu ning platvormi ülalhoid ja arenduskulud</t>
  </si>
  <si>
    <r>
      <rPr>
        <b/>
        <strike/>
        <sz val="10"/>
        <color rgb="FFFF0000"/>
        <rFont val="Times New Roman"/>
        <family val="1"/>
        <charset val="186"/>
      </rPr>
      <t xml:space="preserve">RRF JÄTK </t>
    </r>
    <r>
      <rPr>
        <strike/>
        <sz val="10"/>
        <color rgb="FFFF0000"/>
        <rFont val="Times New Roman"/>
        <family val="1"/>
        <charset val="186"/>
      </rPr>
      <t>jätkusuutlikkus ja tööjõukulud (sh töökohakulud), majandamiskulud ja platvormi ülalhoid ning arenduskulud</t>
    </r>
  </si>
  <si>
    <t>Tehisintellekti akt (AI act)</t>
  </si>
  <si>
    <t>EL määrus</t>
  </si>
  <si>
    <t>Analüüs AI aktist tulenevate kohustuste täitmiseks vajalikud õigusmuudatused (rollide ja määruses ettenähtud karistustega seotud õigusmuudatuste, regulatsioonide ja võimalike lahenduste kaardistamiseks). 
Tegemist otsekohalduva määrusega, millega kaasnevad muudatustest tulenevad ressursivajadused Eestis. Hetkel Euroopa Liidus teisel lugemisel. Jõustub juuni 2024. Nõuded rakenduvad etapiliselt (alates 6 kuud peale jõustumist kuni 3 aastat).​</t>
  </si>
  <si>
    <t>https://eur-lex.europa.eu/legal-content/EN/TXT/?uri=celex:52021PC0206</t>
  </si>
  <si>
    <t>EL akt</t>
  </si>
  <si>
    <t>2024 juuni</t>
  </si>
  <si>
    <t>2024 (määruse jõustumine, analüüsid 2025)</t>
  </si>
  <si>
    <t>majanduskulu (analüüs), 2026+ personalikulud ja majanduskulud</t>
  </si>
  <si>
    <t xml:space="preserve">ajaliselt piiritletud 2025 lisavajadus, hiljem püsikulu
</t>
  </si>
  <si>
    <t>analüüsi tükihind,  2026+ aasta puhul lähtub eelarve vajadus (personalikulud, majanduskulud) AI määruse VV Eesti seisukohtade koostamisel loodud eelarvehinnangust, mis analüüsi raames täpsustub. Eesmärk on leida Eestile optimaalseim ja kuluefektiivseim lähenemine.</t>
  </si>
  <si>
    <t>Sätted läbivalt AI aktist, kuid nt artiklid 71, 59, 22, kolmanda jaotise 3 ptk. 
AI määruse puhul on vajalik siseriiklikult väga märkimisväärsed muudatused teha - varasem hinnang Eesti seisukohtades ja mõjus oli järgnev (jätkuvalt kahjuks räägime rakendamisel miljonitesse kuluvast summast - nii personal kui ka investeeringud): "aastane personalikulu on minimaalselt 17 950 608 eurot, sellele lisandub hinnanguliselt tööjõukulu 2 664 968 eurot [...] püsikuludeks võime hinnata minimaalselt 7 827 300 eurot." Kuna nõudeid on palju, siis on mõistlik analüüsida, kuidas tänastes tingimustes kõige efektiivsemalt kohustusi täita.</t>
  </si>
  <si>
    <t xml:space="preserve">Ott </t>
  </si>
  <si>
    <t>Andmed</t>
  </si>
  <si>
    <t>Andmemäärus (Data act)</t>
  </si>
  <si>
    <t xml:space="preserve">Analüüs  DAst tulenevate kohustuste täitmiseks vajalikud õigusmuudatused (siseriiklikud rolli jaotused, pädevused ja määrusega ettenähtud karistustega seotud õigusmuudatused ja võimalikud lahendused). </t>
  </si>
  <si>
    <t>Andmemäärus</t>
  </si>
  <si>
    <t>november 2023 (määruse jõustumine; analüüsid 2025)</t>
  </si>
  <si>
    <t>majanduskulu (õigusanalüüs)</t>
  </si>
  <si>
    <t xml:space="preserve">ajaliselt piiritletud 
</t>
  </si>
  <si>
    <t>analüüsi tükihind</t>
  </si>
  <si>
    <t>Läbivalt andmemäärusest tulenevad sätted, nt art 37, 40.</t>
  </si>
  <si>
    <t xml:space="preserve">Stina: saan aru, et tuli otsus, et seda me RaMi ei esita. Seega vajalik maha võtta. </t>
  </si>
  <si>
    <t>Digiriigi alusbaasi kindlustamine</t>
  </si>
  <si>
    <t>AvTS jm asjakohased õigusaktid (põhiandmete regulatsioon, OOP)</t>
  </si>
  <si>
    <t>Andmearhitekti töötasu võimaldamaks järgida andmete ühekordse küsimise printsiipi, toetada laiemat andmete ristkasutust, tuvastada dubleeritud andmekogumise juhtumeid, aidata lahendada vaidlusküsimusi ning võimalusel pakkuda asutustele  tuge seonduvalt andmete ühekordse küsimise põhimõtte rakendamisega.
Vajadus tuleneb VV memorandumis kavandatud ülesannetest.</t>
  </si>
  <si>
    <t>Seotud VV memorandumiga, õiguslik kaardistus ja muudatused tulevad hiljem (vastavalt memorandumile); https://www.riigiteataja.ee/akt/107032023011?leiaKehtiv</t>
  </si>
  <si>
    <t>Q4 2024</t>
  </si>
  <si>
    <t>I pa 2025</t>
  </si>
  <si>
    <t>personalikulud</t>
  </si>
  <si>
    <t>Töötasu</t>
  </si>
  <si>
    <t>Siiani olnud oluline teema nii MKM ministrile kui ka VVle. Seotud VV memorandumiga, mille eesmärk on vähendada andmete dubleerivat küsimist ja parandada andmete ristkasutust. Ainuüksi 10% andmete dubleeriva küsimise vähendamine aitab hoida majanduses/ühiskonnas kokku 20M€ aastas.</t>
  </si>
  <si>
    <t>eIDAS ver 2 (EUDI wallet)</t>
  </si>
  <si>
    <t>Analüüs eIDAS2 tulnevate kohustuste täitmiseks vajalikud õigusmuudatused (siseriiklikud rolli jaotused, pädevused ja määrusega ettenähtud karistustega seotud õigusmuudatused ja võimalik lahendused, rollide vahelised õiguslikult lubatud ja lubamatud seosed). 
Varsti jõustub (parlamendi esimene lugemine oli edukas märtsis; ei pruugi järgmine aasta jõuda enam tähtaega kui siis raha taotleda)</t>
  </si>
  <si>
    <t>eIDAS ver 2</t>
  </si>
  <si>
    <t>eelduslikult II kv 2024</t>
  </si>
  <si>
    <t>Määruse jõustumine 20.05.2024 ja rakendamine järkjärgult (mitu tähtaega); analüüsid 2025-2026)</t>
  </si>
  <si>
    <t xml:space="preserve">Erinevad rollid ja õiguslikud vajadused läbivalt eIDAS ver 2 määrusest ja selle tulevastest rakendusaktidest. Ajakava väga tihe. Tegemist mahuka õigusaktiga, millel palju volitusnorme rakendusmääruseks (36). </t>
  </si>
  <si>
    <t>Stina ja Mait</t>
  </si>
  <si>
    <t xml:space="preserve">Euroopa Parlamendi ja nõukogu määrus (EL) 2024/….,…, millega muudetakse määrust (EL) nr 910/2014 seoses Euroopa digiidentiteedi raamistiku kehtestamisega (eIDAS 2). </t>
  </si>
  <si>
    <t>Määrus on tervikuna siduv ja vahetult kohaldatav kõikides liikmesriikides. Määruse eesmärk on suurendada usaldust elektrooniliste tehingute vastu siseturul, luues ühise aluse turvalisele elektroonilisele suhtlusele kodanike, ettevõtjate ja ametiasutuste vahel, suurendades sellega avaliku ja erasektori internetipõhiste teenuste, e-äri ja e-kaubanduse tõhusust liidus. Määrus loob üldise õigusraamistik usaldusteenuste kasutamiseks, e-identimise süsteemide usaldusväärseks piiriüleseks vastastikuseks tunnustamiseks ja toimimiseks ning koostööks</t>
  </si>
  <si>
    <t xml:space="preserve">https://www.europarl.europa.eu/doceo/document/TA-9-2024-0117_ET.html </t>
  </si>
  <si>
    <t>lähikuudel</t>
  </si>
  <si>
    <t>prognoositud aprill/mai 2024</t>
  </si>
  <si>
    <t>Määrus jõustub kahekümnendal päeval pärast selle avaldamist Euroopa Liidu Teatajas.</t>
  </si>
  <si>
    <t>tööjõukulud</t>
  </si>
  <si>
    <t>püsiv kulu</t>
  </si>
  <si>
    <t>üks juhtiveksperdi ametikoht, tööjõukulud ja lisanduvad töökohakulud</t>
  </si>
  <si>
    <r>
      <t>Määruse artiklid 45d lg2, 45f lg3, 46a lg 1-3, 46b lg 1-2, 46e 48a lg 1ja 4</t>
    </r>
    <r>
      <rPr>
        <sz val="10"/>
        <color rgb="FF000000"/>
        <rFont val="Times New Roman"/>
        <family val="1"/>
        <charset val="186"/>
      </rPr>
      <t xml:space="preserve"> Selgitused:                                                
1. EUROOPA PARLAMENDI JA NÕUKOGU MÄÄRUS (EL) nr 910/2014, 23. juuli 2014,e-identimise ja e-tehingute jaoks vajalike usaldusteenuste kohta siseturul ja millega tunnistatakse kehtetuks direktiiv 1999/93/EÜ (edaspidi eIDAS2) otsekohalduva määruse uuendusena lisandub uusi usaldusteenuseid ja uusi nõudeid ka kvalifitseerimata usaldusteenustele, mille üle tuleb hakata täiendavalt tegema järelevalvet. Varasemalt ei olnud sellist vajadust. Kvalifitseerimata teenuse pakkujate üle tehakse järelevalvet kaebuse alusel.
2. Euroopa Digiidentiteedikukru raamistiku järelevalve ülesanded (eIDAS2 artikkel 46 a kohustab igat liikmesriiki määrama järelevalveasutuse ja tagama ülesannete tulemuslikuks, tõhusaks ja sõltumatuks täitmiseks vajalikud volitused ja piisavad vahendid):
2.1 Digikukru väljaarendamisel autentsete allikate järelevalve eiDAS2 nõuetele vastavuse üle, nende üle arvestuse pidamine, usaldusväärseks kinnitamine ja usaldusväärsete EL-i teavitamine.
2.2 Digiidentiteedikukru pakkujate ja tuginevate isikute  järelevalve, selle sihipärase kasutamise üle.
(eIDAS2 artikkel 46 a kohustab igat liikmesriiki määrama järelevalveasutuse ja tagama ülesannete tulemuslikuks, tõhusaks ja sõltumatuks täitmiseks vajalikud volitused ja piisavad vahendid).
3. eIDAS2 kohase EL liikmesriikide järelevalveasutustega koostööraamistiku edendamine ja sisulistes töörühmades (näiteks Forum of European Supervisory Authorities-FESA, ENISA European Competent Authorities for Trust Service-ECATS, uus loomisel European Digital Identity Cooperation Group-EDICG) osalemine, neid saab olema digiidentiteedikukru väljatöötamisega ja kasutusele võtmisega rohkem ja aktiivsema panustamisega. eIDAS2 määrusega pannakse kohustus järelevalveasutustel vahetama teavet teiste EL riikidega oma järelevalvetoimingute ja parimate tavade kohta kõnealuses valdkonnas (Juhul, kui teenuseosutaja pakub oma teenuseid teise liikmesriigi territooriumil ega ole seal järelevalve all, või juhul, kui teenuseosutaja seadmed asuvad mõne muu liikmesriigi territooriumil kui teenuseosutaja asukohaliikmesriik, tuleb luua liikmesriikide järelevalveasutuste vahelise vastastikuse abistamise süsteem). Liikmesriikidel on kohustus tagada koostöörühmas enda määratud esindajate tulemusliku ja tõhusa koostöö (eIDAS2 art 46e).
4. Järelevalve tegevuste regulaarne aruandmine EL Komisjonile ja Euroopa Liidu Võrgu- ja Infoturbeametile (ENISA). Aruannete maht võrreldes varasemaga kasvab (48a)
5. Veebibrauserite pakkujate kaebuste lahendamine, mis on esitatud veebisaidi autentimiseks kasutatavate kvalifitseeritud sertifikaatide kohta.
6. Siseriiklike järelevalveametite (AKI, TTJA…) koostööraamistiku välja töötamine eIDAS2 nõuetest tulenevate infovahetuse pidamiseks (näiteks Usaldusteenuse vastavushindamisaruannete kooskõlastamine AKI-ga või kui isikuandmete kaitse reegleid näib olevat rikutud, tuleb järelevalveasutusel teavitada  põhjendamatu viivituseta määruse (EL) 2016/679 kohaseid pädevaid järelevalveasutusi). Tuleb välja töötada asutuste omavaheline  teavitussüsteem                            </t>
    </r>
  </si>
  <si>
    <t>Soolise võrdsuse ja võrdse kohtlemise programm</t>
  </si>
  <si>
    <t>Soolise võrdõiguslikkuse valdkonnda arendamine</t>
  </si>
  <si>
    <t>Palkade läbipaistvuse direktiiv</t>
  </si>
  <si>
    <t>https://eur-lex.europa.eu/legal-content/ET/TXT/PDF/?uri=CELEX:32023L0970</t>
  </si>
  <si>
    <t>Direktiivi eesmärgiks on saavutada olukord, kus naistele ja meestele makstakse võrdväärse töö eest võrdset tasu.</t>
  </si>
  <si>
    <t> Direktiivi ülevõtmise eelnõu on koostamisel, link direktiivile https://eur-lex.europa.eu/legal-content/ET/TXT/PDF/?uri=CELEX:32023L0970</t>
  </si>
  <si>
    <t> EL akt, VV toetavad seisukohad 22.04.2021</t>
  </si>
  <si>
    <t>EL akt, võetis EL-s vastu mai 2023</t>
  </si>
  <si>
    <r>
      <rPr>
        <sz val="11"/>
        <color rgb="FF000000"/>
        <rFont val="Times New Roman"/>
        <family val="1"/>
        <charset val="186"/>
      </rPr>
      <t xml:space="preserve">Lisavahendid </t>
    </r>
    <r>
      <rPr>
        <sz val="11"/>
        <color rgb="FFFF0000"/>
        <rFont val="Times New Roman"/>
        <family val="1"/>
        <charset val="186"/>
      </rPr>
      <t xml:space="preserve">Tööinspektsioonile </t>
    </r>
    <r>
      <rPr>
        <sz val="11"/>
        <color rgb="FF000000"/>
        <rFont val="Times New Roman"/>
        <family val="1"/>
        <charset val="186"/>
      </rPr>
      <t xml:space="preserve">2 tööinspektori ametikoha loomiseks, kokku 78 000 eurot aastas (ühe ametikoha kulu 39 000 eurot aastas) </t>
    </r>
  </si>
  <si>
    <t>Püsikulu</t>
  </si>
  <si>
    <r>
      <rPr>
        <sz val="11"/>
        <color rgb="FFFF0000"/>
        <rFont val="Times New Roman"/>
        <family val="1"/>
        <charset val="186"/>
      </rPr>
      <t xml:space="preserve">Kulud Tööinspektsioonile kui direktiivi järelevalve asutusele. </t>
    </r>
    <r>
      <rPr>
        <sz val="11"/>
        <color rgb="FF000000"/>
        <rFont val="Times New Roman"/>
        <family val="1"/>
        <charset val="186"/>
      </rPr>
      <t>Brutopalk 2300 eurot, aastakulu 36 930 eurot, maj.kulu 2000 eurot/aastas, kulud kokku 39 000 eurot, kahe ametikoha kulu kokku  78 000 eurot. 2026 aastal vajadus 6 kuuks, kokku 39 000 eurot.</t>
    </r>
  </si>
  <si>
    <t>Direktiivi artikli 26 (järelevalve ja teadlikkus suurendamine) kohaselt liikmesriigid tagavad naistele ja meestele võrdse või võrdväärse töö eest võrdse tasu maksmise põhimõtete rakendamise järjepideva järelevalve ning kõigi kättesaadavate õiguskaitse vahendite kohaldamise. Samuti direktiivi eelnõu kohaselt (art 26) iga liikmesriik määrab järelevalveasutuse, kes jälgib ja toetab käesoleva direktiivi rakendamiseks vastu võetud siseriiklike õigusnormide rakendamist, ning võtab vajalikud meetmed sellise asutuse nõuetekohaseks toimimiseks. Järelevalveasutus võib olla olemasoleva riigiasutuse või - struktuuri osa.</t>
  </si>
  <si>
    <t xml:space="preserve">Hetkel siseriiklikku õigusakti pole. Direktiivi ülevõtmise tähtaeg on 3a jõustumisest, seega tuleb see üle võtta 2026. aasta suveks. Esimene aruanne tuleb esitada 2027. a (kuni 150 töötajat al 2031. a) - siis algab ka meie järelevalve. Inspektorid võiksid olemas olla juba 2026 sügisest, et jõuaks koolitada ja olla valmis järelevalve teostamiseks 2027 aastast. </t>
  </si>
  <si>
    <t xml:space="preserve"> Direktiivi ülevõtmise eelnõu on koostamisel, link direktiivile https://eur-lex.europa.eu/legal-content/ET/TXT/PDF/?uri=CELEX:32023L0970</t>
  </si>
  <si>
    <t xml:space="preserve"> EL akt, VV toetavad seisukohad 22.04.2021</t>
  </si>
  <si>
    <t>50 000 - analüüs olemasolevates töökohtade hindamise metoodikatest; 50 000 - koolitused tööandjatele; 30 000 - e-koolituse loomine</t>
  </si>
  <si>
    <t>Artikkel 11. Alla 250 töötajaga tööandjate toetamine. Liikmesriigid annavad alla 250 töötajaga tööandjatele ja asjaomastele töötajate esindajatele tehnilise abi ja koolituse vormis toetust, et aidata neil täita käesolevas direktiivis sätestatud kohustusi. JA Artikkel 4. Võrdne töö ja võrdväärne töö. 1. [...] 2. Liikmesriigid võtavad võrdõiguslikkust edendavate asutustega konsulteerides vajalikud meetmed tagamaks, et analüüsivahendid või -meetodid on tehtud kättesaadavaks ja on hõlpsalt kättesaadavad, et toetada ja suunata töö väärtuse hindamist ja võrdlemist kooskõlas käesolevas artiklis sätestatud kriteeriumidega. Need vahendid või meetodid aitavad tööandjatel ja/või sotsiaalpartneritel hõlpsalt kehtestada sooneutraalsed töökohtade hindamise ja klassifitseerimise süsteemid, mis välistavad igasuguse soolise diskrimineerimise, ning neid süsteeme kasutada.</t>
  </si>
  <si>
    <t xml:space="preserve">Soolise võrdõiguslikkuse ja võrdse kohtlemise voliniku kantseleile kulud 0,5 ametikoha loomiseks. </t>
  </si>
  <si>
    <t xml:space="preserve">0, 5 ametikoha arvestuslik tööjõu kogukulu  aastas 22 000 ja lisanduv halduskulu (koolitused, lähetused, kantseleikulu) 3000. </t>
  </si>
  <si>
    <t>Artikkel 28. Võrdõiguslikkust edendavad asutused. [1.,2.] 3. Liikmesriigid tagavad võrdõiguslikkust edendavatele asutustele piisavalt vahendeid, et võimaldada neil tulemuslikult täita oma ülesandeid, mis on seotud võrdse tasustamise õiguse järgimisega.</t>
  </si>
  <si>
    <t>Tööturuprogramm</t>
  </si>
  <si>
    <t>Tööelu kvaliteedi arendamine</t>
  </si>
  <si>
    <t xml:space="preserve">Euroopa Parlamendi ja nõukogu määrus (EL) nr 2021/2115
ja
Euroopa Parlamendi ja nõukogu määrus (EL) 2021/2116  </t>
  </si>
  <si>
    <t xml:space="preserve">https://eur-lex.europa.eu/eli/reg/2021/2115/oj/est
https://eur-lex.europa.eu/legal-content/ET/TXT/?uri=CELEX:02021R2116-20220826 </t>
  </si>
  <si>
    <t>Covid-19 pandeemia käigus on taas fookusesse tõusnud töötingimused põllumajanduses. Vastuseks sellele on kehtestatud nn sotsiaalne tingimuslikkus, mis seab ÜPP pindala- ja loomapõhiste toetuste saamise tingimuseks teatud tööõiguse sätete järgimise. Sanktsioonid rikkumiste eest põhinevad eranditult pädevate asutuste otsustel või ametlikel teadetel. Makseagentuur täiendavaid kontrolle ei tee. Lisaks pööratakse põllumajanduse laiendusteenustes suuremat tähelepanu tööõiguslikele küsimustele.</t>
  </si>
  <si>
    <t xml:space="preserve">Eelnõu alles VTK faasis,  </t>
  </si>
  <si>
    <t>VV-le plaanis esitada eelnõu 2024 III kvartalis</t>
  </si>
  <si>
    <t>Eeldatavalt 2025. algus</t>
  </si>
  <si>
    <r>
      <t xml:space="preserve">Lisavahendid 1 andmeanalüütiku töökoha loomiseks, kokku </t>
    </r>
    <r>
      <rPr>
        <sz val="10"/>
        <rFont val="Times New Roman"/>
        <family val="1"/>
      </rPr>
      <t xml:space="preserve">39 000 eurot aastas </t>
    </r>
  </si>
  <si>
    <t>Brutopalk 2300 eurot, aastakulu 36 930 eurot, maj.kulu 2000 eurot/aastas, kulud kokku 39 000 eurot.</t>
  </si>
  <si>
    <t>Eestil on kohustus rakendada alates 01.01.2025 sotsiaalse tingimuslikkuse süsteemi. Sotsiaalne tingimuslikkus on seotud kolmest direktiivist tulenevate nõuetega. Direktiiv (EL) 2019/1152- läbipaistvad ja prognoositavad töötingimused; direktiiv 89/391/EMÜ- meetmed, millega soodustatakse töötajate tervise ja ohutuse parandamist ning direktiiv 2009/104/EÜ- töötajate töövahendite kasutamisele esitatavad ohutuse ja tervishoiu miinimumnõuded.
Uue sotsiaalse tingimuslikkuse mehhanismi kohaselt peavad ELi riikide tööasutused (Eesti kontekstis selleks asutuseks Tööinspektsioon) teavitama põllumajanduse makseasutusi vähemalt kord aastas oma kontrollide tulemustest. Vajadusel vähendab makseasutu (PRIA) põllumajandustootjatele makstavat toetust</t>
  </si>
  <si>
    <t>MKM/TTJA</t>
  </si>
  <si>
    <t>Ettevõtluskeskkond</t>
  </si>
  <si>
    <t>Ettevõtluse arendamise soodustamine</t>
  </si>
  <si>
    <t>Raudteeseaduse muutmise seadus</t>
  </si>
  <si>
    <t>Siseriiklik</t>
  </si>
  <si>
    <t>Raudteeseaduse muudatused on seotud Euroopa Liidu Raudteeameti poolse Eesti raudtee ohutusasutuse (TTJA) auditiga, kus on tähelepanekuna toodud siseriikliku seadusandluse (RdtS) mittevastamine EL määruse 2019/779 nõuetega ja  hoolduse eest vastutava üksuse sertifitseerimisasutuse (TTJA) inimressursi puudus ning sellest tulenevalt kehtestatud sertifitseerimisprotsessi järgimise mittevõimalikkus.</t>
  </si>
  <si>
    <t>Eelnõu koostamisel</t>
  </si>
  <si>
    <t>eeldatavalt sept 2024</t>
  </si>
  <si>
    <t>eelduslikult sügisel  2024 Riigikogu lugemised</t>
  </si>
  <si>
    <t>Personalikulud</t>
  </si>
  <si>
    <t>palgatase vastavas tööperes; 1 ametikoht  (töökoha kuludega)</t>
  </si>
  <si>
    <t>Raudteeseaduse hoolduse eest vastutava üksuse pargrahvi (§ 42) täiendatakse ja täpsustakse. Lisandub täiendavalt hoolduse eest vastutava üksuse allhankefunktsiooni nõue ja täiendatakse § 42 lg-t 3  vedurite osaga. Täiendava ametikoha vajadus tulenevalt seaduse muudatusest ja TTJA kui sertifitseerimisasutuse protseduuri järgimisest.
TTJA esitas Kliimaministeeriumile raudteeseaduse muudatuste ettepaneku 22.01.2024 (2-3/2024/0081). Hetkel on ministeeriumil eesmärk eelnõu saata kooskõlastusringile hiljemalt suve alguses. Euroopa Raudteeohutuse Ametile on lubatud eelnõu jõustumist 30.04.2025</t>
  </si>
  <si>
    <t>Sidevaldkonna regulatiivse keskkonna tagamine</t>
  </si>
  <si>
    <t xml:space="preserve">Tsiviilkriisi ja riigikaitse seaduse eelnõu </t>
  </si>
  <si>
    <t>https://eelnoud.valitsus.ee/main/mount/docList/375b55a6-eaf1-4904-b3b7-fd0965df5106#nTIPqvTU</t>
  </si>
  <si>
    <t>Seadus reguleerib riigikaitse rahu- ja sõjaaegset korraldust, eriolukorraks, erakorraliseks ja sõjaseisukorraks valmistumist ja nendest põhjustatud olukordade lahendamist, mobilisatsiooni ja demobilisatsiooni korraldust, Eesti Vabariigi osalemist rahvusvahelises sõjalises koostöös, elutähtsate teenuste toimepidevuse tagamise õiguslikke aluseid ning järelevalvet ja vastutust</t>
  </si>
  <si>
    <t>eeldatavalt juuni 2024</t>
  </si>
  <si>
    <t>mai teine pool VV-sse ja sügisel Riigikogu lugemised</t>
  </si>
  <si>
    <t>2024 lõpp</t>
  </si>
  <si>
    <t xml:space="preserve">palgatase vastavas tööperes; 1 ametikoht </t>
  </si>
  <si>
    <t xml:space="preserve">Iga asutus vajab edaspidi enda riskianalüüsi ja kriisiplaani koostamist, toimepidevuse tagamist ja õppuse läbiviimist korraldama ühe töötaja, mis sõltub asutuse suurusest, püsivate kriisiülesannete arvust ja olemusest ning muudest teguritest, seega võib tegelik vajadus olla väiksem või oluliselt suurem. Arvestades kriisiolukorraks valmistumise tegevuste täitmise keskmiseks ühe töötaja töökoormuse, siis on täiendav püsivajadus hinnanguliselt 50 000 eurot aastas, lisanduvad töökoha kulud.  </t>
  </si>
  <si>
    <t>Elektroonilise side seadus</t>
  </si>
  <si>
    <t>Ettepanek kehtestada regulaatortasu, mille suuruseks ja sihtrühmaks – 0,2% nende sideettevõtjate sideteenuste aastakäibest, kelle sideteenuste aastakäive ületab 500 000 eur. Kokku u. 11 ettevõtjat. Potentsiaalne tulu riigieelarvele 0,9 mln aastas, millest 0,7 mln läheks riigieelarvest mh TTJA sideregulaatoril seni tekkinud võimelünkade ja uute, seadustega pandavate kohustuste katteks.</t>
  </si>
  <si>
    <t xml:space="preserve">Hetkel VTK väljatöötamisel. Tulude laekumine aastal 2025 eeldab eelnõu heakskiitmist koos RES protsessiga. </t>
  </si>
  <si>
    <t>Eeldab eelnõu heakskiitmist koos RES protsessiga 2024</t>
  </si>
  <si>
    <t>Personalikulud, investeeringud  s.h.2025 250 tuh eurot, 2026 100 tuh eurot, 2027 200 tuh eurot ja 2028 100 tuh eurot</t>
  </si>
  <si>
    <t xml:space="preserve">Kulud täiendavate tulude arvelt  </t>
  </si>
  <si>
    <t>palgatase vastavas tööperes; 2025  aastal 6 ametikohta , 2026  aastal  9 ametikohta, 2027  aastal 10 ametikohta,  2028 aastal 12 ametikohta</t>
  </si>
  <si>
    <t>Küberturvalisuse tagamine</t>
  </si>
  <si>
    <t>NIS2 - Võetakse üle KüTS muudatusega</t>
  </si>
  <si>
    <t>EL direktiiv - EV seadus. Eelnõud veel ei ole.</t>
  </si>
  <si>
    <t>1) direktiiv art 11 sätestab " CSIRTidele esitatavad nõuded, nende tehniline võimekus ja ülesanded", mh kohustus "koguda ja analüüsida kohtuekspertiisiandmeid ning analüüsida järjepidevalt riske ja intsidente ning tagada küberturvalisuse alane olukorrateadlikkus. Kogumise ja analüüsiga kaasneb vajadus sisustada labor ja hoiuruum, välja töötada protsess, register ning soetada vastav tarkvara ; 2) direktiivi art 23 ja 30, mis käsitlevad teatamiskohustust. Koosmõjus määrusega "Küberintsidentide registri põhimäärus" ning teatamiskohustusega kasvab CERT-EE seire töökoormus ning ööpäevases valves peab töötama kaks inimest.</t>
  </si>
  <si>
    <t>http://data.europa.eu/eli/dir/2022/2555</t>
  </si>
  <si>
    <t>Direktiiv on vastu võetud. KüTS eelnõu esitamine VV istungile  ebaselge.</t>
  </si>
  <si>
    <t>Direktiiv on vastu võetud. KüTS vastuvõtmine ebaselge.</t>
  </si>
  <si>
    <t>Direktiiv on vastu võetud. KüTS jõustumise aeg ebaselge.</t>
  </si>
  <si>
    <t>Personalikulud, tarkvara, riistvara, sisustus.</t>
  </si>
  <si>
    <t xml:space="preserve">Püsikulu, ühekordne kulu </t>
  </si>
  <si>
    <t>2025 aastal 9 ametikohta ning ühekordne investeering  taristusse. 2026-2028 9 ametikoha tööjõukulu. NB! Vastavalt KüTS-i lõplikule sõnastusele võivad kulud täpsustuda.</t>
  </si>
  <si>
    <t>Juhul kui seadust ei jõuta muuta, siis 2025.a täiendavat tulu ei laeku ja võtame taotluse tagasi. Eraldi RMiga räägitud, et summad täpsustuvad seaduse menetluse käigus.</t>
  </si>
  <si>
    <t xml:space="preserve">Kui on ühes õigusaktis erinevad kulude liigid, siis need eraldi välja tuua </t>
  </si>
  <si>
    <t>investeering</t>
  </si>
  <si>
    <t>majandamiskulu</t>
  </si>
  <si>
    <t>Liisa-Ly Pakosta</t>
  </si>
  <si>
    <t>justiits- ja digiminister</t>
  </si>
  <si>
    <r>
      <t>(allkirjastatud digitaalselt)</t>
    </r>
    <r>
      <rPr>
        <sz val="9"/>
        <color rgb="FF000000"/>
        <rFont val="Calibri"/>
        <family val="2"/>
        <charset val="186"/>
        <scheme val="minor"/>
      </rPr>
      <t> </t>
    </r>
  </si>
  <si>
    <t xml:space="preserve">Veerg: „Rahastuse allikas / meetme tegevus (SF)“: 
1 – (Baaseelarve, RES, reserv SR) – summad kajastatakse ilma käibemaksuta ja käibemaks arvestatakse juurde riigieelarvest; 
2 – (SF, nii 14-20, kui 21-27) – toetuse summad kajastatakse koos käibemaksuga, käibemaks on osa toetusest; 
3 – (RRF) – toetuse summad kajastatakse ilma käibemaksuta, käibemaks lisandub toetusele.  
4 – (muu rahastus) – summad kajastatakse ilma käibemaksuta, elluviija vastutab sõltuvalt rahastusest õige käibemaksu vormi rakendamise eest. </t>
  </si>
  <si>
    <t>Tulenevalt majandus- ja infotehnoloogiaministri 25. augusti 2023. a käskkirjast „Toetuse andmise tingimused valdkondlike digipöörete toetamiseks“ allkirjastan/kinnitan Majandus- ja Kommunikatsiooniministeeriumi digipöörde tegevuskava.</t>
  </si>
  <si>
    <t>Projektijuht</t>
  </si>
  <si>
    <t>ET (e-teenuste) iseteeninduskeskkond - I etapp sisaldab kõiki vajalikke tegevusi  terviklikuks lahenduseks.*  
ET KLIENDITOODE: arendada terviklik funktsionaalsus loataotluse esitamiseks (sh uus kasutajateekonna disain); kaetud on teenused JVIS, MTR ja NMB infosüsteemidest ja uued teenused (sh NMR)</t>
  </si>
  <si>
    <t>Veerg „Algatuse nimi“: * - Enne algatusega/tegevusega alustamist tuleb läbida äri- ja või arhitektuuripaneel.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</si>
</sst>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 &quot;€&quot;"/>
    <numFmt numFmtId="165" formatCode="0.0"/>
  </numFmts>
  <fonts count="119" x14ac:knownFonts="1">
    <font>
      <sz val="11"/>
      <color theme="1"/>
      <name val="Calibri"/>
      <family val="2"/>
      <charset val="186"/>
      <scheme val="minor"/>
    </font>
    <font>
      <b/>
      <sz val="11"/>
      <color theme="1"/>
      <name val="Calibri"/>
      <family val="2"/>
      <charset val="186"/>
      <scheme val="minor"/>
    </font>
    <font>
      <sz val="11"/>
      <name val="Calibri"/>
      <family val="2"/>
      <charset val="186"/>
      <scheme val="minor"/>
    </font>
    <font>
      <b/>
      <sz val="11"/>
      <color rgb="FFFF0000"/>
      <name val="Calibri"/>
      <family val="2"/>
      <charset val="186"/>
      <scheme val="minor"/>
    </font>
    <font>
      <sz val="11"/>
      <color rgb="FFFF0000"/>
      <name val="Calibri"/>
      <family val="2"/>
      <charset val="186"/>
      <scheme val="minor"/>
    </font>
    <font>
      <b/>
      <i/>
      <sz val="11"/>
      <color theme="1"/>
      <name val="Calibri"/>
      <family val="2"/>
      <charset val="186"/>
      <scheme val="minor"/>
    </font>
    <font>
      <i/>
      <sz val="11"/>
      <color theme="1"/>
      <name val="Calibri"/>
      <family val="2"/>
      <charset val="186"/>
      <scheme val="minor"/>
    </font>
    <font>
      <sz val="8"/>
      <name val="Calibri"/>
      <family val="2"/>
      <charset val="186"/>
      <scheme val="minor"/>
    </font>
    <font>
      <sz val="12"/>
      <color rgb="FF202020"/>
      <name val="Times New Roman"/>
      <family val="1"/>
      <charset val="186"/>
    </font>
    <font>
      <b/>
      <sz val="10"/>
      <color theme="1"/>
      <name val="Calibri"/>
      <family val="2"/>
      <charset val="186"/>
      <scheme val="minor"/>
    </font>
    <font>
      <b/>
      <sz val="10"/>
      <color rgb="FF202020"/>
      <name val="Calibri"/>
      <family val="2"/>
      <charset val="186"/>
      <scheme val="minor"/>
    </font>
    <font>
      <sz val="11"/>
      <name val="Calibri"/>
      <family val="2"/>
      <charset val="186"/>
    </font>
    <font>
      <i/>
      <sz val="11"/>
      <name val="Calibri"/>
      <family val="2"/>
      <charset val="186"/>
    </font>
    <font>
      <b/>
      <sz val="11"/>
      <name val="Calibri"/>
      <family val="2"/>
    </font>
    <font>
      <b/>
      <sz val="11"/>
      <color theme="1"/>
      <name val="Calibri"/>
      <family val="2"/>
      <scheme val="minor"/>
    </font>
    <font>
      <sz val="11"/>
      <name val="Calibri"/>
      <family val="2"/>
    </font>
    <font>
      <b/>
      <sz val="12"/>
      <name val="Calibri"/>
      <family val="2"/>
    </font>
    <font>
      <b/>
      <sz val="11"/>
      <name val="Calibri"/>
      <family val="2"/>
      <charset val="186"/>
    </font>
    <font>
      <sz val="10"/>
      <name val="Raleway"/>
      <family val="2"/>
    </font>
    <font>
      <sz val="11"/>
      <name val="Calibri"/>
      <family val="2"/>
      <scheme val="minor"/>
    </font>
    <font>
      <sz val="12"/>
      <name val="Calibri"/>
      <family val="2"/>
    </font>
    <font>
      <sz val="11"/>
      <color theme="1"/>
      <name val="Calibri"/>
      <family val="2"/>
      <scheme val="minor"/>
    </font>
    <font>
      <sz val="11"/>
      <color rgb="FF202020"/>
      <name val="Calibri"/>
      <family val="2"/>
      <scheme val="minor"/>
    </font>
    <font>
      <sz val="11"/>
      <color rgb="FF006100"/>
      <name val="Calibri"/>
      <family val="2"/>
      <charset val="186"/>
      <scheme val="minor"/>
    </font>
    <font>
      <sz val="11"/>
      <color theme="1"/>
      <name val="Calibri"/>
      <family val="2"/>
      <charset val="186"/>
      <scheme val="minor"/>
    </font>
    <font>
      <b/>
      <sz val="11"/>
      <color theme="1"/>
      <name val="Calibri"/>
      <family val="2"/>
      <charset val="186"/>
    </font>
    <font>
      <sz val="11"/>
      <color theme="1"/>
      <name val="Calibri"/>
      <family val="2"/>
      <charset val="186"/>
    </font>
    <font>
      <sz val="11"/>
      <color rgb="FF000000"/>
      <name val="Calibri"/>
      <family val="2"/>
      <charset val="186"/>
      <scheme val="minor"/>
    </font>
    <font>
      <b/>
      <sz val="11"/>
      <color rgb="FF000000"/>
      <name val="Calibri"/>
      <family val="2"/>
      <charset val="186"/>
      <scheme val="minor"/>
    </font>
    <font>
      <b/>
      <sz val="9"/>
      <color theme="1"/>
      <name val="Calibri"/>
      <family val="2"/>
      <charset val="186"/>
      <scheme val="minor"/>
    </font>
    <font>
      <b/>
      <sz val="11"/>
      <color rgb="FF000000"/>
      <name val="Calibri"/>
      <family val="2"/>
      <scheme val="minor"/>
    </font>
    <font>
      <i/>
      <sz val="11"/>
      <color rgb="FF000000"/>
      <name val="Calibri"/>
      <family val="2"/>
      <charset val="186"/>
      <scheme val="minor"/>
    </font>
    <font>
      <sz val="11"/>
      <color rgb="FF000000"/>
      <name val="Calibri"/>
      <family val="2"/>
      <scheme val="minor"/>
    </font>
    <font>
      <sz val="9"/>
      <color indexed="81"/>
      <name val="Segoe UI"/>
      <family val="2"/>
      <charset val="186"/>
    </font>
    <font>
      <b/>
      <sz val="9"/>
      <color indexed="81"/>
      <name val="Segoe UI"/>
      <family val="2"/>
      <charset val="186"/>
    </font>
    <font>
      <sz val="9"/>
      <color rgb="FF000000"/>
      <name val="Calibri"/>
      <family val="2"/>
      <charset val="186"/>
    </font>
    <font>
      <sz val="9"/>
      <color theme="1"/>
      <name val="Calibri"/>
      <family val="2"/>
      <charset val="186"/>
    </font>
    <font>
      <sz val="9"/>
      <name val="Calibri"/>
      <family val="2"/>
      <charset val="186"/>
    </font>
    <font>
      <sz val="11"/>
      <color rgb="FF000000"/>
      <name val="Raleway"/>
      <charset val="186"/>
    </font>
    <font>
      <b/>
      <u/>
      <sz val="14"/>
      <color theme="1"/>
      <name val="Calibri"/>
      <family val="2"/>
      <charset val="186"/>
      <scheme val="minor"/>
    </font>
    <font>
      <b/>
      <sz val="10"/>
      <color rgb="FF040C0C"/>
      <name val="Calibri"/>
      <family val="2"/>
      <charset val="186"/>
      <scheme val="minor"/>
    </font>
    <font>
      <sz val="10"/>
      <color rgb="FF040C0C"/>
      <name val="Calibri"/>
      <family val="2"/>
      <charset val="186"/>
      <scheme val="minor"/>
    </font>
    <font>
      <b/>
      <sz val="10"/>
      <color rgb="FF000000"/>
      <name val="Calibri"/>
      <family val="2"/>
      <charset val="186"/>
      <scheme val="minor"/>
    </font>
    <font>
      <sz val="10"/>
      <color rgb="FF000000"/>
      <name val="Calibri"/>
      <family val="2"/>
      <charset val="186"/>
      <scheme val="minor"/>
    </font>
    <font>
      <i/>
      <sz val="10"/>
      <color rgb="FF000000"/>
      <name val="Calibri"/>
      <family val="2"/>
      <charset val="186"/>
      <scheme val="minor"/>
    </font>
    <font>
      <vertAlign val="superscript"/>
      <sz val="11"/>
      <color theme="1"/>
      <name val="Calibri"/>
      <family val="2"/>
      <charset val="186"/>
      <scheme val="minor"/>
    </font>
    <font>
      <sz val="10"/>
      <color theme="1"/>
      <name val="Calibri"/>
      <family val="2"/>
      <charset val="186"/>
      <scheme val="minor"/>
    </font>
    <font>
      <sz val="12"/>
      <name val="Calibri"/>
      <family val="2"/>
      <charset val="186"/>
    </font>
    <font>
      <sz val="10"/>
      <name val="Raleway"/>
      <charset val="186"/>
    </font>
    <font>
      <b/>
      <sz val="11"/>
      <name val="Calibri"/>
      <family val="2"/>
      <charset val="186"/>
      <scheme val="minor"/>
    </font>
    <font>
      <b/>
      <u/>
      <sz val="11"/>
      <name val="Calibri"/>
      <family val="2"/>
      <charset val="186"/>
      <scheme val="minor"/>
    </font>
    <font>
      <b/>
      <i/>
      <sz val="11"/>
      <name val="Calibri"/>
      <family val="2"/>
      <charset val="186"/>
    </font>
    <font>
      <i/>
      <sz val="11"/>
      <name val="Calibri"/>
      <family val="2"/>
      <charset val="186"/>
      <scheme val="minor"/>
    </font>
    <font>
      <u/>
      <sz val="12"/>
      <color theme="4" tint="-0.249977111117893"/>
      <name val="Times New Roman"/>
      <family val="1"/>
      <charset val="186"/>
    </font>
    <font>
      <sz val="11"/>
      <color theme="4" tint="-0.249977111117893"/>
      <name val="Calibri"/>
      <family val="2"/>
      <charset val="186"/>
      <scheme val="minor"/>
    </font>
    <font>
      <sz val="10"/>
      <color theme="1"/>
      <name val="Times New Roman"/>
      <family val="1"/>
      <charset val="186"/>
    </font>
    <font>
      <b/>
      <sz val="12"/>
      <name val="Times New Roman"/>
      <family val="1"/>
    </font>
    <font>
      <sz val="12"/>
      <color theme="1"/>
      <name val="Times New Roman"/>
      <family val="1"/>
    </font>
    <font>
      <sz val="10"/>
      <color rgb="FF000000"/>
      <name val="Times New Roman"/>
      <family val="1"/>
    </font>
    <font>
      <sz val="10"/>
      <color rgb="FF000000"/>
      <name val="Times New Roman"/>
      <family val="1"/>
      <charset val="186"/>
    </font>
    <font>
      <u/>
      <sz val="11"/>
      <color theme="10"/>
      <name val="Calibri"/>
      <family val="2"/>
      <charset val="186"/>
      <scheme val="minor"/>
    </font>
    <font>
      <u/>
      <sz val="10"/>
      <color theme="10"/>
      <name val="Times New Roman"/>
      <family val="1"/>
      <charset val="186"/>
    </font>
    <font>
      <b/>
      <sz val="10"/>
      <color rgb="FF000000"/>
      <name val="Times New Roman"/>
      <family val="1"/>
      <charset val="186"/>
    </font>
    <font>
      <b/>
      <sz val="10"/>
      <color theme="1"/>
      <name val="Times New Roman"/>
      <family val="1"/>
      <charset val="186"/>
    </font>
    <font>
      <sz val="11"/>
      <color rgb="FFFF0000"/>
      <name val="Calibri"/>
      <family val="2"/>
    </font>
    <font>
      <sz val="11"/>
      <color rgb="FF000000"/>
      <name val="Calibri"/>
      <family val="2"/>
    </font>
    <font>
      <sz val="10"/>
      <color rgb="FF000000"/>
      <name val="Arial"/>
      <family val="2"/>
      <charset val="1"/>
    </font>
    <font>
      <sz val="11"/>
      <color rgb="FF242424"/>
      <name val="Aptos Narrow"/>
      <family val="2"/>
    </font>
    <font>
      <u/>
      <sz val="10"/>
      <color rgb="FF0563C1"/>
      <name val="Times New Roman"/>
      <family val="1"/>
    </font>
    <font>
      <b/>
      <sz val="10"/>
      <color rgb="FF000000"/>
      <name val="Times New Roman"/>
      <family val="1"/>
    </font>
    <font>
      <sz val="11"/>
      <color rgb="FF006100"/>
      <name val="Calibri"/>
      <family val="2"/>
      <scheme val="minor"/>
    </font>
    <font>
      <sz val="11"/>
      <color rgb="FF000000"/>
      <name val="Aptos Narrow"/>
      <family val="2"/>
    </font>
    <font>
      <sz val="8"/>
      <color rgb="FF1A1A1A"/>
      <name val="Roboto Condensed"/>
    </font>
    <font>
      <sz val="11"/>
      <color rgb="FF000000"/>
      <name val="Times New Roman"/>
      <family val="1"/>
    </font>
    <font>
      <u/>
      <sz val="11"/>
      <color rgb="FFFF0000"/>
      <name val="Times New Roman"/>
      <family val="1"/>
    </font>
    <font>
      <sz val="11"/>
      <name val="Times New Roman"/>
      <family val="1"/>
    </font>
    <font>
      <b/>
      <sz val="11"/>
      <color rgb="FF000000"/>
      <name val="Times New Roman"/>
      <family val="1"/>
    </font>
    <font>
      <b/>
      <sz val="11"/>
      <name val="Times New Roman"/>
      <family val="1"/>
    </font>
    <font>
      <sz val="11"/>
      <color rgb="FFFF0000"/>
      <name val="Times New Roman"/>
      <family val="1"/>
    </font>
    <font>
      <u/>
      <sz val="10"/>
      <color rgb="FF0563C1"/>
      <name val="Times New Roman"/>
      <family val="1"/>
      <charset val="186"/>
    </font>
    <font>
      <sz val="10"/>
      <name val="Times New Roman"/>
      <family val="1"/>
    </font>
    <font>
      <sz val="10"/>
      <color rgb="FF000000"/>
      <name val="Arial"/>
      <family val="2"/>
    </font>
    <font>
      <sz val="11"/>
      <color rgb="FFFF0000"/>
      <name val="Calibri"/>
      <family val="2"/>
      <scheme val="minor"/>
    </font>
    <font>
      <sz val="12"/>
      <color rgb="FFFF0000"/>
      <name val="Calibri"/>
      <family val="2"/>
    </font>
    <font>
      <sz val="10"/>
      <color rgb="FFFF0000"/>
      <name val="Raleway"/>
      <family val="2"/>
    </font>
    <font>
      <sz val="11"/>
      <color rgb="FFFF0000"/>
      <name val="Calibri"/>
      <family val="2"/>
      <charset val="186"/>
    </font>
    <font>
      <sz val="11"/>
      <color theme="1"/>
      <name val="Calibri"/>
      <family val="2"/>
    </font>
    <font>
      <b/>
      <sz val="12"/>
      <color rgb="FFFF0000"/>
      <name val="Calibri"/>
      <family val="2"/>
    </font>
    <font>
      <sz val="11"/>
      <color rgb="FFFF0000"/>
      <name val="Times New Roman"/>
      <family val="1"/>
      <charset val="186"/>
    </font>
    <font>
      <sz val="11"/>
      <color rgb="FF000000"/>
      <name val="Times New Roman"/>
      <family val="1"/>
      <charset val="186"/>
    </font>
    <font>
      <b/>
      <sz val="11"/>
      <color rgb="FFFF0000"/>
      <name val="Times New Roman"/>
      <family val="1"/>
    </font>
    <font>
      <sz val="10"/>
      <color rgb="FFFF0000"/>
      <name val="Times New Roman"/>
      <family val="1"/>
      <charset val="186"/>
    </font>
    <font>
      <b/>
      <sz val="12"/>
      <color rgb="FF000000"/>
      <name val="Times New Roman"/>
      <family val="1"/>
      <charset val="186"/>
    </font>
    <font>
      <b/>
      <u/>
      <sz val="12"/>
      <color rgb="FF000000"/>
      <name val="Times New Roman"/>
      <family val="1"/>
      <charset val="186"/>
    </font>
    <font>
      <sz val="11"/>
      <color rgb="FFFF0000"/>
      <name val="Aptos Narrow"/>
      <family val="2"/>
    </font>
    <font>
      <sz val="11"/>
      <color rgb="FFFF0000"/>
      <name val="Calibri"/>
      <family val="2"/>
      <charset val="1"/>
    </font>
    <font>
      <sz val="10"/>
      <color rgb="FFFF0000"/>
      <name val="Times New Roman"/>
      <family val="1"/>
    </font>
    <font>
      <u/>
      <sz val="10"/>
      <color rgb="FFFF0000"/>
      <name val="Times New Roman"/>
      <family val="1"/>
      <charset val="186"/>
    </font>
    <font>
      <b/>
      <sz val="10"/>
      <color rgb="FFFF0000"/>
      <name val="Times New Roman"/>
      <family val="1"/>
      <charset val="186"/>
    </font>
    <font>
      <u/>
      <sz val="11"/>
      <color rgb="FFFF0000"/>
      <name val="Calibri"/>
      <family val="2"/>
      <charset val="186"/>
      <scheme val="minor"/>
    </font>
    <font>
      <b/>
      <sz val="12"/>
      <color rgb="FFFF0000"/>
      <name val="Times New Roman"/>
      <family val="1"/>
      <charset val="186"/>
    </font>
    <font>
      <b/>
      <sz val="11"/>
      <color rgb="FFFF0000"/>
      <name val="Calibri"/>
      <family val="2"/>
      <charset val="186"/>
    </font>
    <font>
      <b/>
      <sz val="11"/>
      <color rgb="FFFF0000"/>
      <name val="Calibri"/>
      <family val="2"/>
      <scheme val="minor"/>
    </font>
    <font>
      <b/>
      <sz val="11"/>
      <color rgb="FFFF0000"/>
      <name val="Calibri"/>
      <family val="2"/>
    </font>
    <font>
      <strike/>
      <sz val="10"/>
      <color rgb="FFFF0000"/>
      <name val="Times New Roman"/>
      <family val="1"/>
    </font>
    <font>
      <strike/>
      <sz val="10"/>
      <color rgb="FFFF0000"/>
      <name val="Times New Roman"/>
      <family val="1"/>
      <charset val="186"/>
    </font>
    <font>
      <strike/>
      <u/>
      <sz val="10"/>
      <color rgb="FFFF0000"/>
      <name val="Times New Roman"/>
      <family val="1"/>
      <charset val="186"/>
    </font>
    <font>
      <strike/>
      <u/>
      <sz val="10"/>
      <color rgb="FFFF0000"/>
      <name val="Times New Roman"/>
      <family val="1"/>
    </font>
    <font>
      <b/>
      <strike/>
      <sz val="10"/>
      <color rgb="FFFF0000"/>
      <name val="Times New Roman"/>
      <family val="1"/>
      <charset val="186"/>
    </font>
    <font>
      <b/>
      <strike/>
      <sz val="10"/>
      <color rgb="FFFF0000"/>
      <name val="Times New Roman"/>
      <family val="1"/>
    </font>
    <font>
      <strike/>
      <u/>
      <sz val="11"/>
      <color rgb="FFFF0000"/>
      <name val="Calibri"/>
      <family val="2"/>
      <charset val="186"/>
      <scheme val="minor"/>
    </font>
    <font>
      <u/>
      <sz val="10"/>
      <color rgb="FFFF0000"/>
      <name val="Times New Roman"/>
      <family val="1"/>
    </font>
    <font>
      <sz val="12"/>
      <color rgb="FF000000"/>
      <name val="Times New Roman"/>
      <family val="1"/>
      <charset val="1"/>
    </font>
    <font>
      <sz val="11"/>
      <color theme="1"/>
      <name val="Aptos"/>
      <family val="2"/>
      <charset val="1"/>
    </font>
    <font>
      <b/>
      <sz val="9"/>
      <name val="Calibri"/>
      <family val="2"/>
      <charset val="186"/>
      <scheme val="minor"/>
    </font>
    <font>
      <i/>
      <sz val="9"/>
      <name val="Calibri"/>
      <family val="2"/>
      <charset val="186"/>
      <scheme val="minor"/>
    </font>
    <font>
      <b/>
      <sz val="11"/>
      <color rgb="FF000000"/>
      <name val="Calibri"/>
      <family val="2"/>
      <charset val="186"/>
    </font>
    <font>
      <i/>
      <sz val="9"/>
      <color rgb="FF000000"/>
      <name val="Calibri"/>
      <family val="2"/>
      <charset val="186"/>
      <scheme val="minor"/>
    </font>
    <font>
      <sz val="9"/>
      <color rgb="FF000000"/>
      <name val="Calibri"/>
      <family val="2"/>
      <charset val="186"/>
      <scheme val="minor"/>
    </font>
  </fonts>
  <fills count="2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rgb="FFC6EFCE"/>
      </patternFill>
    </fill>
    <fill>
      <patternFill patternType="solid">
        <fgColor rgb="FF92D050"/>
        <bgColor rgb="FF000000"/>
      </patternFill>
    </fill>
    <fill>
      <patternFill patternType="solid">
        <fgColor rgb="FFFFFFFF"/>
        <bgColor rgb="FF000000"/>
      </patternFill>
    </fill>
    <fill>
      <patternFill patternType="solid">
        <fgColor theme="8" tint="0.39997558519241921"/>
        <bgColor indexed="64"/>
      </patternFill>
    </fill>
    <fill>
      <patternFill patternType="solid">
        <fgColor rgb="FFCCCCCC"/>
        <bgColor indexed="64"/>
      </patternFill>
    </fill>
    <fill>
      <patternFill patternType="solid">
        <fgColor theme="0"/>
        <bgColor rgb="FF000000"/>
      </patternFill>
    </fill>
    <fill>
      <patternFill patternType="solid">
        <fgColor theme="9" tint="0.79998168889431442"/>
        <bgColor indexed="64"/>
      </patternFill>
    </fill>
    <fill>
      <patternFill patternType="solid">
        <fgColor theme="5" tint="0.59999389629810485"/>
        <bgColor indexed="64"/>
      </patternFill>
    </fill>
    <fill>
      <patternFill patternType="solid">
        <fgColor rgb="FFA9D08E"/>
        <bgColor rgb="FF000000"/>
      </patternFill>
    </fill>
    <fill>
      <patternFill patternType="solid">
        <fgColor rgb="FF92D050"/>
        <bgColor indexed="64"/>
      </patternFill>
    </fill>
    <fill>
      <patternFill patternType="solid">
        <fgColor theme="4" tint="0.39997558519241921"/>
        <bgColor indexed="64"/>
      </patternFill>
    </fill>
    <fill>
      <patternFill patternType="solid">
        <fgColor rgb="FFE2EFDA"/>
        <bgColor rgb="FF000000"/>
      </patternFill>
    </fill>
    <fill>
      <patternFill patternType="solid">
        <fgColor rgb="FFDAF2D0"/>
        <bgColor rgb="FF000000"/>
      </patternFill>
    </fill>
    <fill>
      <patternFill patternType="solid">
        <fgColor rgb="FFFFFF00"/>
        <bgColor indexed="64"/>
      </patternFill>
    </fill>
    <fill>
      <patternFill patternType="solid">
        <fgColor theme="9" tint="0.79998168889431442"/>
        <bgColor rgb="FF000000"/>
      </patternFill>
    </fill>
    <fill>
      <patternFill patternType="solid">
        <fgColor rgb="FFE7E6E6"/>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rgb="FFFF0000"/>
        <bgColor indexed="64"/>
      </patternFill>
    </fill>
    <fill>
      <patternFill patternType="solid">
        <fgColor theme="5" tint="0.79998168889431442"/>
        <bgColor indexed="64"/>
      </patternFill>
    </fill>
  </fills>
  <borders count="12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style="thin">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auto="1"/>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auto="1"/>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bottom/>
      <diagonal/>
    </border>
    <border>
      <left/>
      <right style="medium">
        <color indexed="64"/>
      </right>
      <top style="thin">
        <color auto="1"/>
      </top>
      <bottom style="thin">
        <color auto="1"/>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rgb="FF000000"/>
      </bottom>
      <diagonal/>
    </border>
    <border>
      <left style="medium">
        <color indexed="64"/>
      </left>
      <right/>
      <top/>
      <bottom style="medium">
        <color indexed="64"/>
      </bottom>
      <diagonal/>
    </border>
    <border>
      <left style="thin">
        <color rgb="FF000000"/>
      </left>
      <right style="thin">
        <color rgb="FF000000"/>
      </right>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style="medium">
        <color indexed="64"/>
      </top>
      <bottom/>
      <diagonal/>
    </border>
    <border>
      <left style="thin">
        <color rgb="FF000000"/>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rgb="FF000000"/>
      </right>
      <top style="medium">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
      <left/>
      <right style="medium">
        <color indexed="64"/>
      </right>
      <top style="thin">
        <color indexed="64"/>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diagonal/>
    </border>
    <border>
      <left style="thin">
        <color rgb="FF000000"/>
      </left>
      <right/>
      <top/>
      <bottom style="thin">
        <color indexed="64"/>
      </bottom>
      <diagonal/>
    </border>
    <border>
      <left style="thin">
        <color indexed="64"/>
      </left>
      <right/>
      <top style="thin">
        <color rgb="FF000000"/>
      </top>
      <bottom/>
      <diagonal/>
    </border>
    <border>
      <left style="thin">
        <color indexed="64"/>
      </left>
      <right/>
      <top style="thin">
        <color indexed="64"/>
      </top>
      <bottom style="thin">
        <color rgb="FF000000"/>
      </bottom>
      <diagonal/>
    </border>
    <border>
      <left/>
      <right style="thin">
        <color indexed="64"/>
      </right>
      <top style="thin">
        <color rgb="FF000000"/>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D9D9D9"/>
      </left>
      <right style="thin">
        <color rgb="FFD9D9D9"/>
      </right>
      <top style="thin">
        <color rgb="FFD9D9D9"/>
      </top>
      <bottom style="thin">
        <color rgb="FFD9D9D9"/>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medium">
        <color indexed="64"/>
      </left>
      <right style="thin">
        <color auto="1"/>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right style="medium">
        <color indexed="64"/>
      </right>
      <top/>
      <bottom style="medium">
        <color rgb="FF000000"/>
      </bottom>
      <diagonal/>
    </border>
    <border>
      <left style="medium">
        <color indexed="64"/>
      </left>
      <right/>
      <top/>
      <bottom style="medium">
        <color rgb="FF000000"/>
      </bottom>
      <diagonal/>
    </border>
    <border>
      <left style="thin">
        <color indexed="64"/>
      </left>
      <right/>
      <top/>
      <bottom style="medium">
        <color rgb="FF000000"/>
      </bottom>
      <diagonal/>
    </border>
    <border>
      <left/>
      <right/>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medium">
        <color indexed="64"/>
      </left>
      <right style="medium">
        <color indexed="64"/>
      </right>
      <top/>
      <bottom style="medium">
        <color rgb="FF000000"/>
      </bottom>
      <diagonal/>
    </border>
    <border>
      <left style="medium">
        <color indexed="64"/>
      </left>
      <right style="medium">
        <color indexed="64"/>
      </right>
      <top style="thin">
        <color indexed="64"/>
      </top>
      <bottom style="medium">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0" fontId="23" fillId="5" borderId="0" applyNumberFormat="0" applyBorder="0" applyAlignment="0" applyProtection="0"/>
    <xf numFmtId="0" fontId="60" fillId="0" borderId="0" applyNumberFormat="0" applyFill="0" applyBorder="0" applyAlignment="0" applyProtection="0"/>
    <xf numFmtId="0" fontId="21" fillId="0" borderId="0"/>
    <xf numFmtId="0" fontId="70" fillId="5" borderId="0" applyNumberFormat="0" applyBorder="0" applyAlignment="0" applyProtection="0"/>
    <xf numFmtId="43" fontId="24" fillId="0" borderId="0" applyFont="0" applyFill="0" applyBorder="0" applyAlignment="0" applyProtection="0"/>
  </cellStyleXfs>
  <cellXfs count="1111">
    <xf numFmtId="0" fontId="0" fillId="0" borderId="0" xfId="0"/>
    <xf numFmtId="0" fontId="0" fillId="0" borderId="0" xfId="0" applyAlignment="1">
      <alignment vertical="top"/>
    </xf>
    <xf numFmtId="0" fontId="4" fillId="0" borderId="0" xfId="0" applyFont="1"/>
    <xf numFmtId="0" fontId="0" fillId="0" borderId="0" xfId="0" applyAlignment="1">
      <alignment horizontal="left" vertical="top"/>
    </xf>
    <xf numFmtId="0" fontId="3" fillId="0" borderId="0" xfId="0" applyFont="1" applyAlignment="1">
      <alignment horizontal="left" vertical="top"/>
    </xf>
    <xf numFmtId="0" fontId="1" fillId="3" borderId="3" xfId="0" applyFont="1" applyFill="1" applyBorder="1" applyAlignment="1">
      <alignment vertical="top"/>
    </xf>
    <xf numFmtId="0" fontId="0" fillId="3" borderId="0" xfId="0" applyFill="1" applyAlignment="1">
      <alignment horizontal="left" vertical="top"/>
    </xf>
    <xf numFmtId="0" fontId="1" fillId="3" borderId="3" xfId="0" applyFont="1" applyFill="1" applyBorder="1" applyAlignment="1">
      <alignment horizontal="left" vertical="top"/>
    </xf>
    <xf numFmtId="0" fontId="0" fillId="3" borderId="0" xfId="0" applyFill="1" applyAlignment="1">
      <alignment vertical="top"/>
    </xf>
    <xf numFmtId="3" fontId="1" fillId="3" borderId="3" xfId="0" applyNumberFormat="1" applyFont="1" applyFill="1" applyBorder="1" applyAlignment="1">
      <alignment vertical="top"/>
    </xf>
    <xf numFmtId="0" fontId="3" fillId="3" borderId="0" xfId="0" applyFont="1" applyFill="1" applyAlignment="1">
      <alignment horizontal="left" vertical="top"/>
    </xf>
    <xf numFmtId="0" fontId="1" fillId="3" borderId="21" xfId="0" applyFont="1" applyFill="1" applyBorder="1" applyAlignment="1">
      <alignment vertical="top"/>
    </xf>
    <xf numFmtId="3" fontId="1" fillId="3" borderId="21" xfId="0" applyNumberFormat="1" applyFont="1" applyFill="1" applyBorder="1" applyAlignment="1">
      <alignment horizontal="center" vertical="top"/>
    </xf>
    <xf numFmtId="0" fontId="1" fillId="3" borderId="21" xfId="0" applyFont="1" applyFill="1" applyBorder="1" applyAlignment="1">
      <alignment horizontal="center" vertical="top"/>
    </xf>
    <xf numFmtId="0" fontId="11" fillId="0" borderId="0" xfId="0" applyFont="1"/>
    <xf numFmtId="0" fontId="17" fillId="0" borderId="0" xfId="0" applyFont="1"/>
    <xf numFmtId="0" fontId="8" fillId="0" borderId="0" xfId="0" applyFont="1"/>
    <xf numFmtId="3" fontId="5" fillId="0" borderId="3" xfId="0" applyNumberFormat="1" applyFont="1" applyBorder="1" applyAlignment="1">
      <alignment vertical="top"/>
    </xf>
    <xf numFmtId="3" fontId="6" fillId="0" borderId="3" xfId="0" applyNumberFormat="1" applyFont="1" applyBorder="1" applyAlignment="1">
      <alignment vertical="top"/>
    </xf>
    <xf numFmtId="0" fontId="2" fillId="0" borderId="0" xfId="0" applyFont="1"/>
    <xf numFmtId="3" fontId="16" fillId="0" borderId="15" xfId="0" applyNumberFormat="1" applyFont="1" applyBorder="1" applyAlignment="1">
      <alignment vertical="top"/>
    </xf>
    <xf numFmtId="164" fontId="14" fillId="4" borderId="23" xfId="0" applyNumberFormat="1" applyFont="1" applyFill="1" applyBorder="1" applyAlignment="1">
      <alignment horizontal="center" vertical="top" wrapText="1"/>
    </xf>
    <xf numFmtId="164" fontId="14" fillId="4" borderId="30" xfId="0" applyNumberFormat="1" applyFont="1" applyFill="1" applyBorder="1" applyAlignment="1">
      <alignment horizontal="center" vertical="top" wrapText="1"/>
    </xf>
    <xf numFmtId="0" fontId="13" fillId="4" borderId="7" xfId="0" applyFont="1" applyFill="1" applyBorder="1" applyAlignment="1">
      <alignment horizontal="center" vertical="top"/>
    </xf>
    <xf numFmtId="164" fontId="0" fillId="4" borderId="41" xfId="0" applyNumberFormat="1" applyFill="1" applyBorder="1" applyAlignment="1">
      <alignment horizontal="center" vertical="top" wrapText="1"/>
    </xf>
    <xf numFmtId="164" fontId="0" fillId="4" borderId="8" xfId="0" applyNumberFormat="1" applyFill="1" applyBorder="1" applyAlignment="1">
      <alignment horizontal="center" vertical="top" wrapText="1"/>
    </xf>
    <xf numFmtId="164" fontId="0" fillId="4" borderId="10" xfId="0" applyNumberFormat="1" applyFill="1" applyBorder="1" applyAlignment="1">
      <alignment horizontal="center" vertical="top" wrapText="1"/>
    </xf>
    <xf numFmtId="164" fontId="0" fillId="4" borderId="9" xfId="0" applyNumberFormat="1" applyFill="1" applyBorder="1" applyAlignment="1">
      <alignment horizontal="center" vertical="top" wrapText="1"/>
    </xf>
    <xf numFmtId="164" fontId="0" fillId="4" borderId="7" xfId="0" applyNumberFormat="1" applyFill="1" applyBorder="1" applyAlignment="1">
      <alignment horizontal="center" vertical="top" wrapText="1"/>
    </xf>
    <xf numFmtId="0" fontId="15" fillId="0" borderId="16" xfId="0" applyFont="1" applyBorder="1" applyAlignment="1">
      <alignment horizontal="left" vertical="top"/>
    </xf>
    <xf numFmtId="0" fontId="12" fillId="0" borderId="3" xfId="0" applyFont="1" applyBorder="1"/>
    <xf numFmtId="3" fontId="20" fillId="0" borderId="17" xfId="0" applyNumberFormat="1" applyFont="1" applyBorder="1" applyAlignment="1">
      <alignment vertical="top"/>
    </xf>
    <xf numFmtId="3" fontId="20" fillId="0" borderId="15" xfId="0" applyNumberFormat="1" applyFont="1" applyBorder="1" applyAlignment="1">
      <alignment vertical="top"/>
    </xf>
    <xf numFmtId="3" fontId="20" fillId="0" borderId="35" xfId="0" applyNumberFormat="1" applyFont="1" applyBorder="1" applyAlignment="1">
      <alignment vertical="top"/>
    </xf>
    <xf numFmtId="0" fontId="1" fillId="0" borderId="0" xfId="0" applyFont="1" applyAlignment="1">
      <alignment vertical="top"/>
    </xf>
    <xf numFmtId="0" fontId="19" fillId="0" borderId="0" xfId="0" applyFont="1"/>
    <xf numFmtId="0" fontId="2" fillId="0" borderId="0" xfId="0" applyFont="1" applyAlignment="1">
      <alignment wrapText="1"/>
    </xf>
    <xf numFmtId="0" fontId="2" fillId="0" borderId="32" xfId="0" applyFont="1" applyBorder="1" applyAlignment="1">
      <alignment horizontal="left" vertical="top"/>
    </xf>
    <xf numFmtId="0" fontId="2" fillId="0" borderId="16" xfId="0" applyFont="1" applyBorder="1" applyAlignment="1">
      <alignment horizontal="left" vertical="top"/>
    </xf>
    <xf numFmtId="0" fontId="0" fillId="0" borderId="0" xfId="0" applyAlignment="1">
      <alignment vertical="top" wrapText="1"/>
    </xf>
    <xf numFmtId="0" fontId="25" fillId="0" borderId="52" xfId="0" applyFont="1" applyBorder="1" applyAlignment="1">
      <alignment horizontal="center" vertical="top" wrapText="1"/>
    </xf>
    <xf numFmtId="3" fontId="25" fillId="0" borderId="33" xfId="0" applyNumberFormat="1" applyFont="1" applyBorder="1" applyAlignment="1">
      <alignment vertical="top" wrapText="1"/>
    </xf>
    <xf numFmtId="3" fontId="25" fillId="0" borderId="54" xfId="0" applyNumberFormat="1" applyFont="1" applyBorder="1" applyAlignment="1">
      <alignment vertical="top" wrapText="1"/>
    </xf>
    <xf numFmtId="0" fontId="0" fillId="0" borderId="55" xfId="0" applyBorder="1" applyAlignment="1">
      <alignment vertical="top" wrapText="1"/>
    </xf>
    <xf numFmtId="3" fontId="26" fillId="0" borderId="36" xfId="0" applyNumberFormat="1" applyFont="1" applyBorder="1" applyAlignment="1">
      <alignment horizontal="right" vertical="top" wrapText="1"/>
    </xf>
    <xf numFmtId="0" fontId="11" fillId="0" borderId="0" xfId="0" applyFont="1" applyAlignment="1">
      <alignment horizontal="center" vertical="top" wrapText="1"/>
    </xf>
    <xf numFmtId="0" fontId="11" fillId="0" borderId="55" xfId="0" applyFont="1" applyBorder="1" applyAlignment="1">
      <alignment horizontal="center" vertical="top" wrapText="1"/>
    </xf>
    <xf numFmtId="0" fontId="25" fillId="0" borderId="23" xfId="0" applyFont="1" applyBorder="1" applyAlignment="1">
      <alignment horizontal="left" vertical="top" wrapText="1"/>
    </xf>
    <xf numFmtId="0" fontId="11" fillId="0" borderId="57" xfId="0" applyFont="1" applyBorder="1" applyAlignment="1">
      <alignment horizontal="center" vertical="top" wrapText="1"/>
    </xf>
    <xf numFmtId="0" fontId="11" fillId="0" borderId="58" xfId="0" applyFont="1" applyBorder="1" applyAlignment="1">
      <alignment horizontal="center" vertical="top" wrapText="1"/>
    </xf>
    <xf numFmtId="0" fontId="1" fillId="2" borderId="4" xfId="0" applyFont="1" applyFill="1" applyBorder="1" applyAlignment="1">
      <alignment vertical="top" wrapText="1"/>
    </xf>
    <xf numFmtId="0" fontId="1" fillId="3" borderId="13" xfId="0" applyFont="1" applyFill="1" applyBorder="1" applyAlignment="1">
      <alignment vertical="top" wrapText="1"/>
    </xf>
    <xf numFmtId="0" fontId="1" fillId="3" borderId="18" xfId="0" applyFont="1" applyFill="1" applyBorder="1" applyAlignment="1">
      <alignment vertical="top" wrapText="1"/>
    </xf>
    <xf numFmtId="0" fontId="24" fillId="0" borderId="0" xfId="0" applyFont="1" applyAlignment="1">
      <alignment vertical="top" wrapText="1"/>
    </xf>
    <xf numFmtId="0" fontId="30" fillId="6" borderId="61" xfId="0" applyFont="1" applyFill="1" applyBorder="1" applyAlignment="1">
      <alignment vertical="top" wrapText="1"/>
    </xf>
    <xf numFmtId="0" fontId="32" fillId="7" borderId="62" xfId="0" applyFont="1" applyFill="1" applyBorder="1" applyAlignment="1">
      <alignment vertical="top"/>
    </xf>
    <xf numFmtId="0" fontId="30" fillId="7" borderId="62" xfId="0" applyFont="1" applyFill="1" applyBorder="1" applyAlignment="1">
      <alignment vertical="top"/>
    </xf>
    <xf numFmtId="3" fontId="32" fillId="7" borderId="63" xfId="0" applyNumberFormat="1" applyFont="1" applyFill="1" applyBorder="1" applyAlignment="1">
      <alignment vertical="top"/>
    </xf>
    <xf numFmtId="0" fontId="32" fillId="7" borderId="66" xfId="0" applyFont="1" applyFill="1" applyBorder="1" applyAlignment="1">
      <alignment vertical="top"/>
    </xf>
    <xf numFmtId="3" fontId="32" fillId="7" borderId="65" xfId="0" applyNumberFormat="1" applyFont="1" applyFill="1" applyBorder="1" applyAlignment="1">
      <alignment vertical="top"/>
    </xf>
    <xf numFmtId="3" fontId="30" fillId="7" borderId="27" xfId="0" applyNumberFormat="1" applyFont="1" applyFill="1" applyBorder="1" applyAlignment="1">
      <alignment vertical="top"/>
    </xf>
    <xf numFmtId="0" fontId="32" fillId="7" borderId="27" xfId="0" applyFont="1" applyFill="1" applyBorder="1" applyAlignment="1">
      <alignment vertical="top"/>
    </xf>
    <xf numFmtId="0" fontId="30" fillId="7" borderId="27" xfId="0" applyFont="1" applyFill="1" applyBorder="1" applyAlignment="1">
      <alignment vertical="top"/>
    </xf>
    <xf numFmtId="0" fontId="32" fillId="7" borderId="67" xfId="0" applyFont="1" applyFill="1" applyBorder="1" applyAlignment="1">
      <alignment vertical="top"/>
    </xf>
    <xf numFmtId="0" fontId="32" fillId="7" borderId="29" xfId="0" applyFont="1" applyFill="1" applyBorder="1" applyAlignment="1">
      <alignment vertical="top"/>
    </xf>
    <xf numFmtId="0" fontId="32" fillId="7" borderId="55" xfId="0" applyFont="1" applyFill="1" applyBorder="1" applyAlignment="1">
      <alignment vertical="top"/>
    </xf>
    <xf numFmtId="0" fontId="32" fillId="7" borderId="59" xfId="0" applyFont="1" applyFill="1" applyBorder="1" applyAlignment="1">
      <alignment vertical="top"/>
    </xf>
    <xf numFmtId="0" fontId="0" fillId="0" borderId="55" xfId="0" applyBorder="1" applyAlignment="1">
      <alignment vertical="top"/>
    </xf>
    <xf numFmtId="0" fontId="32" fillId="7" borderId="57" xfId="0" applyFont="1" applyFill="1" applyBorder="1" applyAlignment="1">
      <alignment vertical="top"/>
    </xf>
    <xf numFmtId="3" fontId="32" fillId="7" borderId="68" xfId="0" applyNumberFormat="1" applyFont="1" applyFill="1" applyBorder="1" applyAlignment="1">
      <alignment vertical="top"/>
    </xf>
    <xf numFmtId="0" fontId="32" fillId="7" borderId="58" xfId="0" applyFont="1" applyFill="1" applyBorder="1" applyAlignment="1">
      <alignment vertical="top"/>
    </xf>
    <xf numFmtId="0" fontId="0" fillId="0" borderId="13" xfId="0" applyBorder="1" applyAlignment="1">
      <alignment horizontal="left" vertical="top"/>
    </xf>
    <xf numFmtId="0" fontId="0" fillId="0" borderId="55" xfId="0" applyBorder="1"/>
    <xf numFmtId="0" fontId="3" fillId="0" borderId="4" xfId="0" applyFont="1" applyBorder="1" applyAlignment="1">
      <alignment horizontal="left" vertical="top"/>
    </xf>
    <xf numFmtId="0" fontId="11" fillId="0" borderId="0" xfId="0" applyFont="1" applyAlignment="1">
      <alignment horizontal="left" vertical="top"/>
    </xf>
    <xf numFmtId="164" fontId="14" fillId="4" borderId="52" xfId="0" applyNumberFormat="1" applyFont="1" applyFill="1" applyBorder="1" applyAlignment="1">
      <alignment horizontal="center" vertical="top" wrapText="1"/>
    </xf>
    <xf numFmtId="0" fontId="35" fillId="0" borderId="40" xfId="0" applyFont="1" applyBorder="1" applyAlignment="1">
      <alignment vertical="top" wrapText="1"/>
    </xf>
    <xf numFmtId="0" fontId="35" fillId="0" borderId="74" xfId="0" applyFont="1" applyBorder="1" applyAlignment="1">
      <alignment vertical="top" wrapText="1"/>
    </xf>
    <xf numFmtId="0" fontId="4" fillId="0" borderId="0" xfId="0" applyFont="1" applyAlignment="1">
      <alignment vertical="top"/>
    </xf>
    <xf numFmtId="3" fontId="28" fillId="7" borderId="27" xfId="0" applyNumberFormat="1" applyFont="1" applyFill="1" applyBorder="1" applyAlignment="1">
      <alignment vertical="top"/>
    </xf>
    <xf numFmtId="0" fontId="27" fillId="7" borderId="27" xfId="0" applyFont="1" applyFill="1" applyBorder="1" applyAlignment="1">
      <alignment vertical="top"/>
    </xf>
    <xf numFmtId="0" fontId="28" fillId="7" borderId="27" xfId="0" applyFont="1" applyFill="1" applyBorder="1" applyAlignment="1">
      <alignment vertical="top"/>
    </xf>
    <xf numFmtId="0" fontId="27" fillId="7" borderId="67" xfId="0" applyFont="1" applyFill="1" applyBorder="1" applyAlignment="1">
      <alignment vertical="top"/>
    </xf>
    <xf numFmtId="0" fontId="27" fillId="7" borderId="29" xfId="0" applyFont="1" applyFill="1" applyBorder="1" applyAlignment="1">
      <alignment vertical="top"/>
    </xf>
    <xf numFmtId="3" fontId="27" fillId="7" borderId="63" xfId="0" applyNumberFormat="1" applyFont="1" applyFill="1" applyBorder="1" applyAlignment="1">
      <alignment vertical="top"/>
    </xf>
    <xf numFmtId="0" fontId="27" fillId="7" borderId="55" xfId="0" applyFont="1" applyFill="1" applyBorder="1" applyAlignment="1">
      <alignment vertical="top"/>
    </xf>
    <xf numFmtId="0" fontId="27" fillId="7" borderId="66" xfId="0" applyFont="1" applyFill="1" applyBorder="1" applyAlignment="1">
      <alignment vertical="top"/>
    </xf>
    <xf numFmtId="3" fontId="27" fillId="7" borderId="65" xfId="0" applyNumberFormat="1" applyFont="1" applyFill="1" applyBorder="1" applyAlignment="1">
      <alignment vertical="top"/>
    </xf>
    <xf numFmtId="0" fontId="27" fillId="7" borderId="59" xfId="0" applyFont="1" applyFill="1" applyBorder="1" applyAlignment="1">
      <alignment vertical="top"/>
    </xf>
    <xf numFmtId="3" fontId="28" fillId="7" borderId="62" xfId="0" applyNumberFormat="1" applyFont="1" applyFill="1" applyBorder="1" applyAlignment="1">
      <alignment vertical="top"/>
    </xf>
    <xf numFmtId="0" fontId="28" fillId="7" borderId="62" xfId="0" applyFont="1" applyFill="1" applyBorder="1" applyAlignment="1">
      <alignment vertical="top"/>
    </xf>
    <xf numFmtId="3" fontId="27" fillId="7" borderId="57" xfId="0" applyNumberFormat="1" applyFont="1" applyFill="1" applyBorder="1" applyAlignment="1">
      <alignment vertical="top"/>
    </xf>
    <xf numFmtId="0" fontId="27" fillId="7" borderId="57" xfId="0" applyFont="1" applyFill="1" applyBorder="1" applyAlignment="1">
      <alignment vertical="top"/>
    </xf>
    <xf numFmtId="3" fontId="27" fillId="7" borderId="68" xfId="0" applyNumberFormat="1" applyFont="1" applyFill="1" applyBorder="1" applyAlignment="1">
      <alignment vertical="top"/>
    </xf>
    <xf numFmtId="0" fontId="27" fillId="7" borderId="58" xfId="0" applyFont="1" applyFill="1" applyBorder="1" applyAlignment="1">
      <alignment vertical="top"/>
    </xf>
    <xf numFmtId="3" fontId="27" fillId="7" borderId="66" xfId="0" applyNumberFormat="1" applyFont="1" applyFill="1" applyBorder="1" applyAlignment="1">
      <alignment vertical="top"/>
    </xf>
    <xf numFmtId="3" fontId="28" fillId="7" borderId="45" xfId="0" applyNumberFormat="1" applyFont="1" applyFill="1" applyBorder="1" applyAlignment="1">
      <alignment vertical="top"/>
    </xf>
    <xf numFmtId="0" fontId="27" fillId="7" borderId="80" xfId="0" applyFont="1" applyFill="1" applyBorder="1" applyAlignment="1">
      <alignment vertical="top"/>
    </xf>
    <xf numFmtId="3" fontId="27" fillId="7" borderId="81" xfId="0" applyNumberFormat="1" applyFont="1" applyFill="1" applyBorder="1" applyAlignment="1">
      <alignment vertical="top"/>
    </xf>
    <xf numFmtId="0" fontId="27" fillId="7" borderId="82" xfId="0" applyFont="1" applyFill="1" applyBorder="1" applyAlignment="1">
      <alignment vertical="top"/>
    </xf>
    <xf numFmtId="3" fontId="27" fillId="7" borderId="2" xfId="0" applyNumberFormat="1" applyFont="1" applyFill="1" applyBorder="1" applyAlignment="1">
      <alignment vertical="top"/>
    </xf>
    <xf numFmtId="0" fontId="27" fillId="7" borderId="75" xfId="0" applyFont="1" applyFill="1" applyBorder="1" applyAlignment="1">
      <alignment vertical="top"/>
    </xf>
    <xf numFmtId="0" fontId="0" fillId="0" borderId="80" xfId="0" applyBorder="1" applyAlignment="1">
      <alignment vertical="top"/>
    </xf>
    <xf numFmtId="0" fontId="0" fillId="0" borderId="44" xfId="0" applyBorder="1" applyAlignment="1">
      <alignment vertical="top"/>
    </xf>
    <xf numFmtId="0" fontId="27" fillId="7" borderId="44" xfId="0" applyFont="1" applyFill="1" applyBorder="1" applyAlignment="1">
      <alignment vertical="top"/>
    </xf>
    <xf numFmtId="0" fontId="28" fillId="7" borderId="80" xfId="0" applyFont="1" applyFill="1" applyBorder="1" applyAlignment="1">
      <alignment vertical="top"/>
    </xf>
    <xf numFmtId="3" fontId="25" fillId="0" borderId="30" xfId="0" applyNumberFormat="1" applyFont="1" applyBorder="1" applyAlignment="1">
      <alignment horizontal="right" vertical="top" wrapText="1"/>
    </xf>
    <xf numFmtId="3" fontId="25" fillId="0" borderId="36" xfId="0" applyNumberFormat="1" applyFont="1" applyBorder="1" applyAlignment="1">
      <alignment horizontal="right" vertical="top" wrapText="1"/>
    </xf>
    <xf numFmtId="0" fontId="36" fillId="0" borderId="53" xfId="0" applyFont="1" applyBorder="1" applyAlignment="1">
      <alignment vertical="top" wrapText="1"/>
    </xf>
    <xf numFmtId="0" fontId="37" fillId="0" borderId="5" xfId="0" applyFont="1" applyBorder="1" applyAlignment="1">
      <alignment vertical="top" wrapText="1"/>
    </xf>
    <xf numFmtId="0" fontId="37" fillId="0" borderId="6" xfId="0" applyFont="1" applyBorder="1" applyAlignment="1">
      <alignment vertical="top" wrapText="1"/>
    </xf>
    <xf numFmtId="0" fontId="2" fillId="3" borderId="3" xfId="0" applyFont="1" applyFill="1" applyBorder="1" applyAlignment="1">
      <alignment horizontal="center" vertical="top" wrapText="1"/>
    </xf>
    <xf numFmtId="0" fontId="0" fillId="3" borderId="3" xfId="0" applyFill="1" applyBorder="1" applyAlignment="1">
      <alignment horizontal="center" vertical="top" wrapText="1"/>
    </xf>
    <xf numFmtId="0" fontId="0" fillId="3" borderId="12" xfId="0" applyFill="1" applyBorder="1" applyAlignment="1">
      <alignment horizontal="center" vertical="top" wrapText="1"/>
    </xf>
    <xf numFmtId="3" fontId="2" fillId="3" borderId="16" xfId="0" applyNumberFormat="1" applyFont="1" applyFill="1" applyBorder="1" applyAlignment="1">
      <alignment horizontal="right" vertical="top" wrapText="1"/>
    </xf>
    <xf numFmtId="3" fontId="2" fillId="3" borderId="15" xfId="0" applyNumberFormat="1" applyFont="1" applyFill="1" applyBorder="1" applyAlignment="1">
      <alignment horizontal="right" vertical="top" wrapText="1"/>
    </xf>
    <xf numFmtId="0" fontId="39" fillId="0" borderId="0" xfId="0" applyFont="1" applyAlignment="1">
      <alignment vertical="top"/>
    </xf>
    <xf numFmtId="10" fontId="0" fillId="0" borderId="0" xfId="0" applyNumberFormat="1" applyAlignment="1">
      <alignment vertical="top"/>
    </xf>
    <xf numFmtId="9" fontId="0" fillId="0" borderId="0" xfId="0" applyNumberFormat="1" applyAlignment="1">
      <alignment vertical="top"/>
    </xf>
    <xf numFmtId="3" fontId="0" fillId="0" borderId="16" xfId="0" applyNumberFormat="1" applyBorder="1" applyAlignment="1">
      <alignment vertical="top"/>
    </xf>
    <xf numFmtId="3" fontId="0" fillId="0" borderId="15" xfId="0" applyNumberFormat="1" applyBorder="1" applyAlignment="1">
      <alignment vertical="top"/>
    </xf>
    <xf numFmtId="0" fontId="32" fillId="7" borderId="0" xfId="0" applyFont="1" applyFill="1" applyAlignment="1">
      <alignment vertical="top"/>
    </xf>
    <xf numFmtId="3" fontId="32" fillId="7" borderId="0" xfId="0" applyNumberFormat="1" applyFont="1" applyFill="1" applyAlignment="1">
      <alignment vertical="top"/>
    </xf>
    <xf numFmtId="3" fontId="27" fillId="7" borderId="72" xfId="0" applyNumberFormat="1" applyFont="1" applyFill="1" applyBorder="1" applyAlignment="1">
      <alignment vertical="top"/>
    </xf>
    <xf numFmtId="0" fontId="27" fillId="7" borderId="76" xfId="0" applyFont="1" applyFill="1" applyBorder="1" applyAlignment="1">
      <alignment vertical="top"/>
    </xf>
    <xf numFmtId="3" fontId="28" fillId="7" borderId="71" xfId="0" applyNumberFormat="1" applyFont="1" applyFill="1" applyBorder="1" applyAlignment="1">
      <alignment vertical="top"/>
    </xf>
    <xf numFmtId="0" fontId="27" fillId="7" borderId="83" xfId="0" applyFont="1" applyFill="1" applyBorder="1" applyAlignment="1">
      <alignment vertical="top"/>
    </xf>
    <xf numFmtId="0" fontId="0" fillId="0" borderId="84" xfId="0" applyBorder="1" applyAlignment="1">
      <alignment vertical="top"/>
    </xf>
    <xf numFmtId="0" fontId="43" fillId="0" borderId="0" xfId="0" applyFont="1" applyAlignment="1">
      <alignment horizontal="left" vertical="top" wrapText="1"/>
    </xf>
    <xf numFmtId="0" fontId="0" fillId="0" borderId="11" xfId="0" applyBorder="1" applyAlignment="1">
      <alignment vertical="top"/>
    </xf>
    <xf numFmtId="3" fontId="32" fillId="7" borderId="81" xfId="0" applyNumberFormat="1" applyFont="1" applyFill="1" applyBorder="1" applyAlignment="1">
      <alignment vertical="top"/>
    </xf>
    <xf numFmtId="3" fontId="30" fillId="7" borderId="81" xfId="0" applyNumberFormat="1" applyFont="1" applyFill="1" applyBorder="1" applyAlignment="1">
      <alignment vertical="top"/>
    </xf>
    <xf numFmtId="3" fontId="30" fillId="7" borderId="71" xfId="0" applyNumberFormat="1" applyFont="1" applyFill="1" applyBorder="1" applyAlignment="1">
      <alignment vertical="top"/>
    </xf>
    <xf numFmtId="0" fontId="32" fillId="7" borderId="8" xfId="0" applyFont="1" applyFill="1" applyBorder="1" applyAlignment="1">
      <alignment vertical="top"/>
    </xf>
    <xf numFmtId="3" fontId="30" fillId="7" borderId="8" xfId="0" applyNumberFormat="1" applyFont="1" applyFill="1" applyBorder="1" applyAlignment="1">
      <alignment vertical="top"/>
    </xf>
    <xf numFmtId="0" fontId="30" fillId="7" borderId="8" xfId="0" applyFont="1" applyFill="1" applyBorder="1" applyAlignment="1">
      <alignment vertical="top"/>
    </xf>
    <xf numFmtId="0" fontId="32" fillId="7" borderId="10" xfId="0" applyFont="1" applyFill="1" applyBorder="1" applyAlignment="1">
      <alignment vertical="top"/>
    </xf>
    <xf numFmtId="0" fontId="32" fillId="3" borderId="0" xfId="0" applyFont="1" applyFill="1" applyAlignment="1">
      <alignment vertical="top"/>
    </xf>
    <xf numFmtId="0" fontId="0" fillId="3" borderId="43" xfId="0" applyFill="1" applyBorder="1" applyAlignment="1">
      <alignment vertical="top"/>
    </xf>
    <xf numFmtId="3" fontId="30" fillId="7" borderId="44" xfId="0" applyNumberFormat="1" applyFont="1" applyFill="1" applyBorder="1" applyAlignment="1">
      <alignment vertical="top"/>
    </xf>
    <xf numFmtId="0" fontId="32" fillId="7" borderId="44" xfId="0" applyFont="1" applyFill="1" applyBorder="1" applyAlignment="1">
      <alignment vertical="top"/>
    </xf>
    <xf numFmtId="0" fontId="30" fillId="7" borderId="44" xfId="0" applyFont="1" applyFill="1" applyBorder="1" applyAlignment="1">
      <alignment vertical="top"/>
    </xf>
    <xf numFmtId="3" fontId="30" fillId="7" borderId="45" xfId="0" applyNumberFormat="1" applyFont="1" applyFill="1" applyBorder="1" applyAlignment="1">
      <alignment vertical="top"/>
    </xf>
    <xf numFmtId="3" fontId="30" fillId="7" borderId="41" xfId="0" applyNumberFormat="1" applyFont="1" applyFill="1" applyBorder="1" applyAlignment="1">
      <alignment vertical="top"/>
    </xf>
    <xf numFmtId="0" fontId="0" fillId="3" borderId="81" xfId="0" applyFill="1" applyBorder="1" applyAlignment="1">
      <alignment vertical="top"/>
    </xf>
    <xf numFmtId="0" fontId="0" fillId="3" borderId="2" xfId="0" applyFill="1" applyBorder="1" applyAlignment="1">
      <alignment vertical="top"/>
    </xf>
    <xf numFmtId="0" fontId="30" fillId="10" borderId="28" xfId="0" applyFont="1" applyFill="1" applyBorder="1" applyAlignment="1">
      <alignment horizontal="center" vertical="top"/>
    </xf>
    <xf numFmtId="0" fontId="32" fillId="10" borderId="27" xfId="0" applyFont="1" applyFill="1" applyBorder="1" applyAlignment="1">
      <alignment horizontal="center" vertical="top"/>
    </xf>
    <xf numFmtId="0" fontId="32" fillId="10" borderId="27" xfId="0" applyFont="1" applyFill="1" applyBorder="1" applyAlignment="1">
      <alignment vertical="top"/>
    </xf>
    <xf numFmtId="0" fontId="0" fillId="3" borderId="27" xfId="0" applyFill="1" applyBorder="1" applyAlignment="1">
      <alignment vertical="top"/>
    </xf>
    <xf numFmtId="0" fontId="0" fillId="3" borderId="29" xfId="0" applyFill="1" applyBorder="1" applyAlignment="1">
      <alignment vertical="top"/>
    </xf>
    <xf numFmtId="0" fontId="29" fillId="3" borderId="43" xfId="0" applyFont="1" applyFill="1" applyBorder="1" applyAlignment="1">
      <alignment horizontal="left" vertical="top"/>
    </xf>
    <xf numFmtId="0" fontId="0" fillId="3" borderId="55" xfId="0" applyFill="1" applyBorder="1" applyAlignment="1">
      <alignment vertical="top"/>
    </xf>
    <xf numFmtId="0" fontId="0" fillId="3" borderId="57" xfId="0" applyFill="1" applyBorder="1" applyAlignment="1">
      <alignment vertical="top"/>
    </xf>
    <xf numFmtId="0" fontId="0" fillId="0" borderId="45" xfId="0" applyBorder="1" applyAlignment="1">
      <alignment vertical="top"/>
    </xf>
    <xf numFmtId="3" fontId="32" fillId="7" borderId="89" xfId="0" applyNumberFormat="1" applyFont="1" applyFill="1" applyBorder="1" applyAlignment="1">
      <alignment vertical="top"/>
    </xf>
    <xf numFmtId="0" fontId="32" fillId="7" borderId="83" xfId="0" applyFont="1" applyFill="1" applyBorder="1" applyAlignment="1">
      <alignment vertical="top"/>
    </xf>
    <xf numFmtId="0" fontId="30" fillId="7" borderId="83" xfId="0" applyFont="1" applyFill="1" applyBorder="1" applyAlignment="1">
      <alignment vertical="top"/>
    </xf>
    <xf numFmtId="0" fontId="0" fillId="0" borderId="19" xfId="0" applyBorder="1" applyAlignment="1">
      <alignment vertical="top"/>
    </xf>
    <xf numFmtId="0" fontId="0" fillId="0" borderId="82" xfId="0" applyBorder="1" applyAlignment="1">
      <alignment vertical="top"/>
    </xf>
    <xf numFmtId="0" fontId="27" fillId="7" borderId="84" xfId="0" applyFont="1" applyFill="1" applyBorder="1" applyAlignment="1">
      <alignment vertical="top"/>
    </xf>
    <xf numFmtId="3" fontId="30" fillId="7" borderId="90" xfId="0" applyNumberFormat="1" applyFont="1" applyFill="1" applyBorder="1" applyAlignment="1">
      <alignment vertical="top"/>
    </xf>
    <xf numFmtId="0" fontId="30" fillId="7" borderId="80" xfId="0" applyFont="1" applyFill="1" applyBorder="1" applyAlignment="1">
      <alignment vertical="top"/>
    </xf>
    <xf numFmtId="3" fontId="28" fillId="7" borderId="90" xfId="0" applyNumberFormat="1" applyFont="1" applyFill="1" applyBorder="1" applyAlignment="1">
      <alignment vertical="top"/>
    </xf>
    <xf numFmtId="0" fontId="27" fillId="7" borderId="92" xfId="0" applyFont="1" applyFill="1" applyBorder="1" applyAlignment="1">
      <alignment vertical="top"/>
    </xf>
    <xf numFmtId="0" fontId="28" fillId="7" borderId="83" xfId="0" applyFont="1" applyFill="1" applyBorder="1" applyAlignment="1">
      <alignment vertical="top"/>
    </xf>
    <xf numFmtId="0" fontId="43" fillId="0" borderId="3" xfId="0" applyFont="1" applyBorder="1" applyAlignment="1">
      <alignment horizontal="left" vertical="top" wrapText="1"/>
    </xf>
    <xf numFmtId="0" fontId="44" fillId="0" borderId="3" xfId="0" applyFont="1" applyBorder="1" applyAlignment="1">
      <alignment horizontal="right" vertical="top" wrapText="1"/>
    </xf>
    <xf numFmtId="3" fontId="28" fillId="7" borderId="81" xfId="0" applyNumberFormat="1" applyFont="1" applyFill="1" applyBorder="1" applyAlignment="1">
      <alignment vertical="top"/>
    </xf>
    <xf numFmtId="0" fontId="0" fillId="3" borderId="45" xfId="0" applyFill="1" applyBorder="1" applyAlignment="1">
      <alignment vertical="top"/>
    </xf>
    <xf numFmtId="0" fontId="0" fillId="3" borderId="91" xfId="0" applyFill="1" applyBorder="1" applyAlignment="1">
      <alignment vertical="top"/>
    </xf>
    <xf numFmtId="0" fontId="27" fillId="10" borderId="80" xfId="0" applyFont="1" applyFill="1" applyBorder="1" applyAlignment="1">
      <alignment vertical="top"/>
    </xf>
    <xf numFmtId="0" fontId="0" fillId="3" borderId="11" xfId="0" applyFill="1" applyBorder="1" applyAlignment="1">
      <alignment vertical="top"/>
    </xf>
    <xf numFmtId="0" fontId="2" fillId="0" borderId="0" xfId="0" applyFont="1" applyAlignment="1">
      <alignment vertical="top"/>
    </xf>
    <xf numFmtId="0" fontId="30" fillId="6" borderId="86" xfId="0" applyFont="1" applyFill="1" applyBorder="1" applyAlignment="1">
      <alignment horizontal="center" vertical="top" wrapText="1"/>
    </xf>
    <xf numFmtId="0" fontId="45" fillId="3" borderId="55" xfId="0" applyFont="1" applyFill="1" applyBorder="1" applyAlignment="1">
      <alignment vertical="top"/>
    </xf>
    <xf numFmtId="0" fontId="45" fillId="3" borderId="57" xfId="0" applyFont="1" applyFill="1" applyBorder="1" applyAlignment="1">
      <alignment vertical="top"/>
    </xf>
    <xf numFmtId="0" fontId="45" fillId="3" borderId="27" xfId="0" applyFont="1" applyFill="1" applyBorder="1" applyAlignment="1">
      <alignment vertical="top"/>
    </xf>
    <xf numFmtId="0" fontId="0" fillId="3" borderId="20" xfId="0" applyFill="1" applyBorder="1" applyAlignment="1">
      <alignment vertical="top"/>
    </xf>
    <xf numFmtId="0" fontId="0" fillId="3" borderId="56" xfId="0" applyFill="1" applyBorder="1" applyAlignment="1">
      <alignment vertical="top"/>
    </xf>
    <xf numFmtId="3" fontId="46" fillId="0" borderId="3" xfId="0" applyNumberFormat="1" applyFont="1" applyBorder="1" applyAlignment="1">
      <alignment vertical="top"/>
    </xf>
    <xf numFmtId="0" fontId="46" fillId="0" borderId="3" xfId="0" applyFont="1" applyBorder="1" applyAlignment="1">
      <alignment vertical="top"/>
    </xf>
    <xf numFmtId="0" fontId="1" fillId="3" borderId="11" xfId="0" applyFont="1" applyFill="1" applyBorder="1" applyAlignment="1">
      <alignment horizontal="left" vertical="top"/>
    </xf>
    <xf numFmtId="0" fontId="1" fillId="3" borderId="20" xfId="0" applyFont="1" applyFill="1" applyBorder="1" applyAlignment="1">
      <alignment horizontal="left" vertical="top"/>
    </xf>
    <xf numFmtId="3" fontId="47" fillId="0" borderId="42" xfId="0" applyNumberFormat="1" applyFont="1" applyBorder="1" applyAlignment="1">
      <alignment vertical="top"/>
    </xf>
    <xf numFmtId="3" fontId="47" fillId="0" borderId="17" xfId="0" applyNumberFormat="1" applyFont="1" applyBorder="1" applyAlignment="1">
      <alignment vertical="top"/>
    </xf>
    <xf numFmtId="3" fontId="47" fillId="0" borderId="15" xfId="0" applyNumberFormat="1" applyFont="1" applyBorder="1" applyAlignment="1">
      <alignment vertical="top"/>
    </xf>
    <xf numFmtId="3" fontId="47" fillId="0" borderId="35" xfId="0" applyNumberFormat="1" applyFont="1" applyBorder="1" applyAlignment="1">
      <alignment vertical="top"/>
    </xf>
    <xf numFmtId="0" fontId="42" fillId="9" borderId="3" xfId="0" applyFont="1" applyFill="1" applyBorder="1" applyAlignment="1">
      <alignment horizontal="center" vertical="top" wrapText="1"/>
    </xf>
    <xf numFmtId="0" fontId="40" fillId="9" borderId="3" xfId="0" applyFont="1" applyFill="1" applyBorder="1" applyAlignment="1">
      <alignment horizontal="left" vertical="top" wrapText="1"/>
    </xf>
    <xf numFmtId="3" fontId="42" fillId="9" borderId="3" xfId="0" applyNumberFormat="1" applyFont="1" applyFill="1" applyBorder="1" applyAlignment="1">
      <alignment horizontal="right" vertical="top" wrapText="1"/>
    </xf>
    <xf numFmtId="9" fontId="42" fillId="9" borderId="3" xfId="0" applyNumberFormat="1" applyFont="1" applyFill="1" applyBorder="1" applyAlignment="1">
      <alignment horizontal="right" vertical="top" wrapText="1"/>
    </xf>
    <xf numFmtId="3" fontId="43" fillId="0" borderId="3" xfId="0" applyNumberFormat="1" applyFont="1" applyBorder="1" applyAlignment="1">
      <alignment horizontal="right" vertical="top" wrapText="1"/>
    </xf>
    <xf numFmtId="9" fontId="43" fillId="0" borderId="3" xfId="0" applyNumberFormat="1" applyFont="1" applyBorder="1" applyAlignment="1">
      <alignment horizontal="right" vertical="top" wrapText="1"/>
    </xf>
    <xf numFmtId="0" fontId="42" fillId="9" borderId="3" xfId="0" applyFont="1" applyFill="1" applyBorder="1" applyAlignment="1">
      <alignment horizontal="left" vertical="top" wrapText="1"/>
    </xf>
    <xf numFmtId="0" fontId="42" fillId="0" borderId="3" xfId="0" applyFont="1" applyBorder="1" applyAlignment="1">
      <alignment horizontal="left" vertical="top" wrapText="1"/>
    </xf>
    <xf numFmtId="3" fontId="42" fillId="0" borderId="3" xfId="0" applyNumberFormat="1" applyFont="1" applyBorder="1" applyAlignment="1">
      <alignment horizontal="right" vertical="top" wrapText="1"/>
    </xf>
    <xf numFmtId="3" fontId="42" fillId="0" borderId="3" xfId="0" applyNumberFormat="1" applyFont="1" applyBorder="1" applyAlignment="1">
      <alignment horizontal="left" vertical="top" wrapText="1"/>
    </xf>
    <xf numFmtId="3" fontId="43" fillId="0" borderId="0" xfId="0" applyNumberFormat="1" applyFont="1" applyAlignment="1">
      <alignment horizontal="right" vertical="top" wrapText="1"/>
    </xf>
    <xf numFmtId="3" fontId="43" fillId="0" borderId="0" xfId="0" applyNumberFormat="1" applyFont="1" applyAlignment="1">
      <alignment horizontal="left" vertical="top" wrapText="1"/>
    </xf>
    <xf numFmtId="14" fontId="42" fillId="9" borderId="3" xfId="0" applyNumberFormat="1" applyFont="1" applyFill="1" applyBorder="1" applyAlignment="1">
      <alignment horizontal="center" vertical="top" wrapText="1"/>
    </xf>
    <xf numFmtId="3" fontId="42" fillId="9" borderId="1" xfId="0" applyNumberFormat="1" applyFont="1" applyFill="1" applyBorder="1" applyAlignment="1">
      <alignment horizontal="center" vertical="top" wrapText="1"/>
    </xf>
    <xf numFmtId="0" fontId="42" fillId="9" borderId="1" xfId="0" applyFont="1" applyFill="1" applyBorder="1" applyAlignment="1">
      <alignment horizontal="center" vertical="top" wrapText="1"/>
    </xf>
    <xf numFmtId="0" fontId="3" fillId="0" borderId="0" xfId="0" applyFont="1" applyAlignment="1">
      <alignment vertical="top"/>
    </xf>
    <xf numFmtId="165" fontId="0" fillId="0" borderId="0" xfId="0" applyNumberFormat="1"/>
    <xf numFmtId="4" fontId="43" fillId="0" borderId="0" xfId="0" applyNumberFormat="1" applyFont="1" applyAlignment="1">
      <alignment horizontal="left" vertical="top" wrapText="1"/>
    </xf>
    <xf numFmtId="0" fontId="1" fillId="3" borderId="45" xfId="0" applyFont="1" applyFill="1" applyBorder="1" applyAlignment="1">
      <alignment vertical="top"/>
    </xf>
    <xf numFmtId="3" fontId="1" fillId="3" borderId="3" xfId="0" applyNumberFormat="1" applyFont="1" applyFill="1" applyBorder="1" applyAlignment="1">
      <alignment horizontal="center" vertical="top" wrapText="1"/>
    </xf>
    <xf numFmtId="0" fontId="1" fillId="3" borderId="3" xfId="0" applyFont="1" applyFill="1" applyBorder="1" applyAlignment="1">
      <alignment horizontal="center" vertical="top"/>
    </xf>
    <xf numFmtId="0" fontId="1" fillId="3" borderId="11" xfId="0" applyFont="1" applyFill="1" applyBorder="1" applyAlignment="1">
      <alignment vertical="top"/>
    </xf>
    <xf numFmtId="0" fontId="12" fillId="0" borderId="11" xfId="0" applyFont="1" applyBorder="1" applyAlignment="1">
      <alignment vertical="top"/>
    </xf>
    <xf numFmtId="0" fontId="1" fillId="3" borderId="45" xfId="0" applyFont="1" applyFill="1" applyBorder="1" applyAlignment="1">
      <alignment horizontal="left" vertical="top"/>
    </xf>
    <xf numFmtId="0" fontId="1" fillId="3" borderId="44" xfId="0" applyFont="1" applyFill="1" applyBorder="1" applyAlignment="1">
      <alignment horizontal="left" vertical="top"/>
    </xf>
    <xf numFmtId="0" fontId="9" fillId="3" borderId="3" xfId="0" applyFont="1" applyFill="1" applyBorder="1" applyAlignment="1">
      <alignment horizontal="left" vertical="top" wrapText="1"/>
    </xf>
    <xf numFmtId="0" fontId="10" fillId="3" borderId="3" xfId="0" applyFont="1" applyFill="1" applyBorder="1" applyAlignment="1">
      <alignment horizontal="left" vertical="top" wrapText="1"/>
    </xf>
    <xf numFmtId="0" fontId="1" fillId="3" borderId="3" xfId="0" applyFont="1" applyFill="1" applyBorder="1" applyAlignment="1">
      <alignment horizontal="left" vertical="top" wrapText="1"/>
    </xf>
    <xf numFmtId="3" fontId="22" fillId="0" borderId="3" xfId="0" applyNumberFormat="1" applyFont="1" applyBorder="1" applyAlignment="1">
      <alignment vertical="top"/>
    </xf>
    <xf numFmtId="3" fontId="21" fillId="0" borderId="3" xfId="0" applyNumberFormat="1" applyFont="1" applyBorder="1" applyAlignment="1">
      <alignment vertical="top"/>
    </xf>
    <xf numFmtId="0" fontId="0" fillId="3" borderId="11" xfId="0" applyFill="1" applyBorder="1" applyAlignment="1">
      <alignment horizontal="center" vertical="top" wrapText="1"/>
    </xf>
    <xf numFmtId="164" fontId="14" fillId="4" borderId="24" xfId="0" applyNumberFormat="1" applyFont="1" applyFill="1" applyBorder="1" applyAlignment="1">
      <alignment horizontal="center" vertical="top" wrapText="1"/>
    </xf>
    <xf numFmtId="0" fontId="11" fillId="0" borderId="0" xfId="0" applyFont="1" applyAlignment="1">
      <alignment vertical="top"/>
    </xf>
    <xf numFmtId="0" fontId="19" fillId="0" borderId="0" xfId="0" applyFont="1" applyAlignment="1">
      <alignment vertical="top"/>
    </xf>
    <xf numFmtId="3" fontId="20" fillId="0" borderId="32" xfId="0" applyNumberFormat="1" applyFont="1" applyBorder="1" applyAlignment="1">
      <alignment vertical="top"/>
    </xf>
    <xf numFmtId="3" fontId="20" fillId="0" borderId="77" xfId="0" applyNumberFormat="1" applyFont="1" applyBorder="1" applyAlignment="1">
      <alignment vertical="top"/>
    </xf>
    <xf numFmtId="3" fontId="20" fillId="0" borderId="58" xfId="0" applyNumberFormat="1" applyFont="1" applyBorder="1" applyAlignment="1">
      <alignment vertical="top"/>
    </xf>
    <xf numFmtId="3" fontId="20" fillId="0" borderId="42" xfId="0" applyNumberFormat="1" applyFont="1" applyBorder="1" applyAlignment="1">
      <alignment vertical="top"/>
    </xf>
    <xf numFmtId="0" fontId="2" fillId="0" borderId="42" xfId="0" applyFont="1" applyBorder="1" applyAlignment="1">
      <alignment vertical="top"/>
    </xf>
    <xf numFmtId="0" fontId="2" fillId="0" borderId="37" xfId="0" applyFont="1" applyBorder="1" applyAlignment="1">
      <alignment vertical="top"/>
    </xf>
    <xf numFmtId="0" fontId="2" fillId="0" borderId="35" xfId="0" applyFont="1" applyBorder="1" applyAlignment="1">
      <alignment vertical="top"/>
    </xf>
    <xf numFmtId="3" fontId="0" fillId="0" borderId="18" xfId="0" applyNumberFormat="1" applyBorder="1" applyAlignment="1">
      <alignment vertical="top"/>
    </xf>
    <xf numFmtId="0" fontId="17" fillId="0" borderId="0" xfId="0" applyFont="1" applyAlignment="1">
      <alignment vertical="top"/>
    </xf>
    <xf numFmtId="3" fontId="0" fillId="0" borderId="4" xfId="0" applyNumberFormat="1" applyBorder="1" applyAlignment="1">
      <alignment vertical="top"/>
    </xf>
    <xf numFmtId="3" fontId="0" fillId="0" borderId="5" xfId="0" applyNumberFormat="1" applyBorder="1" applyAlignment="1">
      <alignment vertical="top"/>
    </xf>
    <xf numFmtId="3" fontId="0" fillId="0" borderId="6" xfId="0" applyNumberFormat="1" applyBorder="1" applyAlignment="1">
      <alignment vertical="top"/>
    </xf>
    <xf numFmtId="0" fontId="0" fillId="0" borderId="5" xfId="0" applyBorder="1" applyAlignment="1">
      <alignment vertical="top"/>
    </xf>
    <xf numFmtId="0" fontId="0" fillId="0" borderId="6" xfId="0" applyBorder="1" applyAlignment="1">
      <alignment vertical="top"/>
    </xf>
    <xf numFmtId="0" fontId="0" fillId="0" borderId="4" xfId="0" applyBorder="1" applyAlignment="1">
      <alignment vertical="top"/>
    </xf>
    <xf numFmtId="0" fontId="0" fillId="0" borderId="0" xfId="0" quotePrefix="1" applyAlignment="1">
      <alignment vertical="top"/>
    </xf>
    <xf numFmtId="3" fontId="0" fillId="0" borderId="0" xfId="0" applyNumberFormat="1" applyAlignment="1">
      <alignment vertical="top"/>
    </xf>
    <xf numFmtId="3" fontId="16" fillId="0" borderId="78" xfId="0" applyNumberFormat="1" applyFont="1" applyBorder="1" applyAlignment="1">
      <alignment vertical="top"/>
    </xf>
    <xf numFmtId="0" fontId="17" fillId="4" borderId="10" xfId="0" applyFont="1" applyFill="1" applyBorder="1" applyAlignment="1">
      <alignment horizontal="center" vertical="top"/>
    </xf>
    <xf numFmtId="0" fontId="17" fillId="4" borderId="8" xfId="0" applyFont="1" applyFill="1" applyBorder="1" applyAlignment="1">
      <alignment horizontal="center" vertical="top"/>
    </xf>
    <xf numFmtId="0" fontId="15" fillId="11" borderId="1" xfId="0" applyFont="1" applyFill="1" applyBorder="1" applyAlignment="1" applyProtection="1">
      <alignment horizontal="left" vertical="top" wrapText="1"/>
      <protection locked="0"/>
    </xf>
    <xf numFmtId="0" fontId="19" fillId="11" borderId="1" xfId="0" applyFont="1" applyFill="1" applyBorder="1" applyAlignment="1" applyProtection="1">
      <alignment horizontal="left" vertical="top" wrapText="1"/>
      <protection locked="0"/>
    </xf>
    <xf numFmtId="0" fontId="19" fillId="11" borderId="3" xfId="0" applyFont="1" applyFill="1" applyBorder="1" applyAlignment="1" applyProtection="1">
      <alignment horizontal="left" vertical="top" wrapText="1"/>
      <protection locked="0"/>
    </xf>
    <xf numFmtId="0" fontId="15" fillId="11" borderId="3" xfId="0" applyFont="1" applyFill="1" applyBorder="1" applyAlignment="1" applyProtection="1">
      <alignment horizontal="left" vertical="top" wrapText="1"/>
      <protection locked="0"/>
    </xf>
    <xf numFmtId="3" fontId="20" fillId="11" borderId="39" xfId="0" applyNumberFormat="1" applyFont="1" applyFill="1" applyBorder="1" applyAlignment="1" applyProtection="1">
      <alignment vertical="top"/>
      <protection locked="0"/>
    </xf>
    <xf numFmtId="3" fontId="20" fillId="11" borderId="2" xfId="0" applyNumberFormat="1" applyFont="1" applyFill="1" applyBorder="1" applyAlignment="1" applyProtection="1">
      <alignment vertical="top"/>
      <protection locked="0"/>
    </xf>
    <xf numFmtId="3" fontId="20" fillId="11" borderId="14" xfId="0" applyNumberFormat="1" applyFont="1" applyFill="1" applyBorder="1" applyAlignment="1" applyProtection="1">
      <alignment vertical="top"/>
      <protection locked="0"/>
    </xf>
    <xf numFmtId="3" fontId="20" fillId="11" borderId="22" xfId="0" applyNumberFormat="1" applyFont="1" applyFill="1" applyBorder="1" applyAlignment="1" applyProtection="1">
      <alignment vertical="top"/>
      <protection locked="0"/>
    </xf>
    <xf numFmtId="0" fontId="19" fillId="11" borderId="40" xfId="0" applyFont="1" applyFill="1" applyBorder="1" applyAlignment="1" applyProtection="1">
      <alignment vertical="top" wrapText="1"/>
      <protection locked="0"/>
    </xf>
    <xf numFmtId="0" fontId="2" fillId="11" borderId="3" xfId="0" applyFont="1" applyFill="1" applyBorder="1" applyAlignment="1" applyProtection="1">
      <alignment vertical="top"/>
      <protection locked="0"/>
    </xf>
    <xf numFmtId="3" fontId="20" fillId="11" borderId="13" xfId="0" applyNumberFormat="1" applyFont="1" applyFill="1" applyBorder="1" applyAlignment="1" applyProtection="1">
      <alignment vertical="top"/>
      <protection locked="0"/>
    </xf>
    <xf numFmtId="3" fontId="20" fillId="11" borderId="3" xfId="0" applyNumberFormat="1" applyFont="1" applyFill="1" applyBorder="1" applyAlignment="1" applyProtection="1">
      <alignment vertical="top"/>
      <protection locked="0"/>
    </xf>
    <xf numFmtId="3" fontId="20" fillId="11" borderId="12" xfId="0" applyNumberFormat="1" applyFont="1" applyFill="1" applyBorder="1" applyAlignment="1" applyProtection="1">
      <alignment vertical="top"/>
      <protection locked="0"/>
    </xf>
    <xf numFmtId="0" fontId="19" fillId="11" borderId="3" xfId="0" applyFont="1" applyFill="1" applyBorder="1" applyAlignment="1" applyProtection="1">
      <alignment vertical="top" wrapText="1"/>
      <protection locked="0"/>
    </xf>
    <xf numFmtId="0" fontId="19" fillId="11" borderId="22" xfId="0" applyFont="1" applyFill="1" applyBorder="1" applyAlignment="1" applyProtection="1">
      <alignment vertical="top" wrapText="1"/>
      <protection locked="0"/>
    </xf>
    <xf numFmtId="3" fontId="20" fillId="11" borderId="26" xfId="0" applyNumberFormat="1" applyFont="1" applyFill="1" applyBorder="1" applyAlignment="1" applyProtection="1">
      <alignment vertical="top"/>
      <protection locked="0"/>
    </xf>
    <xf numFmtId="3" fontId="20" fillId="11" borderId="11" xfId="0" applyNumberFormat="1" applyFont="1" applyFill="1" applyBorder="1" applyAlignment="1" applyProtection="1">
      <alignment vertical="top"/>
      <protection locked="0"/>
    </xf>
    <xf numFmtId="3" fontId="20" fillId="11" borderId="20" xfId="0" applyNumberFormat="1" applyFont="1" applyFill="1" applyBorder="1" applyAlignment="1" applyProtection="1">
      <alignment vertical="top"/>
      <protection locked="0"/>
    </xf>
    <xf numFmtId="3" fontId="18" fillId="11" borderId="13" xfId="0" applyNumberFormat="1" applyFont="1" applyFill="1" applyBorder="1" applyAlignment="1" applyProtection="1">
      <alignment horizontal="right" vertical="top"/>
      <protection locked="0"/>
    </xf>
    <xf numFmtId="3" fontId="18" fillId="11" borderId="3" xfId="0" applyNumberFormat="1" applyFont="1" applyFill="1" applyBorder="1" applyAlignment="1" applyProtection="1">
      <alignment horizontal="right" vertical="top"/>
      <protection locked="0"/>
    </xf>
    <xf numFmtId="3" fontId="18" fillId="11" borderId="12" xfId="0" applyNumberFormat="1" applyFont="1" applyFill="1" applyBorder="1" applyAlignment="1" applyProtection="1">
      <alignment horizontal="right" vertical="top"/>
      <protection locked="0"/>
    </xf>
    <xf numFmtId="3" fontId="18" fillId="11" borderId="11" xfId="0" applyNumberFormat="1" applyFont="1" applyFill="1" applyBorder="1" applyAlignment="1" applyProtection="1">
      <alignment horizontal="right" vertical="top"/>
      <protection locked="0"/>
    </xf>
    <xf numFmtId="0" fontId="2" fillId="11" borderId="40" xfId="0" applyFont="1" applyFill="1" applyBorder="1" applyAlignment="1" applyProtection="1">
      <alignment vertical="top" wrapText="1"/>
      <protection locked="0"/>
    </xf>
    <xf numFmtId="3" fontId="20" fillId="11" borderId="50" xfId="0" applyNumberFormat="1" applyFont="1" applyFill="1" applyBorder="1" applyAlignment="1" applyProtection="1">
      <alignment vertical="top"/>
      <protection locked="0"/>
    </xf>
    <xf numFmtId="3" fontId="20" fillId="11" borderId="45" xfId="0" applyNumberFormat="1" applyFont="1" applyFill="1" applyBorder="1" applyAlignment="1" applyProtection="1">
      <alignment vertical="top"/>
      <protection locked="0"/>
    </xf>
    <xf numFmtId="3" fontId="20" fillId="11" borderId="48" xfId="0" applyNumberFormat="1" applyFont="1" applyFill="1" applyBorder="1" applyAlignment="1" applyProtection="1">
      <alignment vertical="top"/>
      <protection locked="0"/>
    </xf>
    <xf numFmtId="3" fontId="20" fillId="11" borderId="44" xfId="0" applyNumberFormat="1" applyFont="1" applyFill="1" applyBorder="1" applyAlignment="1" applyProtection="1">
      <alignment vertical="top"/>
      <protection locked="0"/>
    </xf>
    <xf numFmtId="3" fontId="18" fillId="11" borderId="50" xfId="0" applyNumberFormat="1" applyFont="1" applyFill="1" applyBorder="1" applyAlignment="1" applyProtection="1">
      <alignment horizontal="right" vertical="top"/>
      <protection locked="0"/>
    </xf>
    <xf numFmtId="3" fontId="18" fillId="11" borderId="45" xfId="0" applyNumberFormat="1" applyFont="1" applyFill="1" applyBorder="1" applyAlignment="1" applyProtection="1">
      <alignment horizontal="right" vertical="top"/>
      <protection locked="0"/>
    </xf>
    <xf numFmtId="3" fontId="18" fillId="11" borderId="48" xfId="0" applyNumberFormat="1" applyFont="1" applyFill="1" applyBorder="1" applyAlignment="1" applyProtection="1">
      <alignment horizontal="right" vertical="top"/>
      <protection locked="0"/>
    </xf>
    <xf numFmtId="0" fontId="19" fillId="11" borderId="47" xfId="0" applyFont="1" applyFill="1" applyBorder="1" applyAlignment="1" applyProtection="1">
      <alignment vertical="top" wrapText="1"/>
      <protection locked="0"/>
    </xf>
    <xf numFmtId="3" fontId="0" fillId="11" borderId="16" xfId="0" applyNumberFormat="1" applyFill="1" applyBorder="1" applyAlignment="1" applyProtection="1">
      <alignment horizontal="right" vertical="top" wrapText="1"/>
      <protection locked="0"/>
    </xf>
    <xf numFmtId="3" fontId="0" fillId="11" borderId="17" xfId="0" applyNumberFormat="1" applyFill="1" applyBorder="1" applyAlignment="1" applyProtection="1">
      <alignment horizontal="right" vertical="top" wrapText="1"/>
      <protection locked="0"/>
    </xf>
    <xf numFmtId="3" fontId="0" fillId="11" borderId="35" xfId="0" applyNumberFormat="1" applyFill="1" applyBorder="1" applyAlignment="1" applyProtection="1">
      <alignment horizontal="left" vertical="top" wrapText="1"/>
      <protection locked="0"/>
    </xf>
    <xf numFmtId="3" fontId="16" fillId="12" borderId="14" xfId="0" applyNumberFormat="1" applyFont="1" applyFill="1" applyBorder="1" applyAlignment="1">
      <alignment vertical="top"/>
    </xf>
    <xf numFmtId="3" fontId="20" fillId="12" borderId="31" xfId="0" applyNumberFormat="1" applyFont="1" applyFill="1" applyBorder="1" applyAlignment="1">
      <alignment vertical="top"/>
    </xf>
    <xf numFmtId="3" fontId="47" fillId="12" borderId="1" xfId="0" applyNumberFormat="1" applyFont="1" applyFill="1" applyBorder="1" applyAlignment="1">
      <alignment vertical="top"/>
    </xf>
    <xf numFmtId="3" fontId="47" fillId="12" borderId="22" xfId="0" applyNumberFormat="1" applyFont="1" applyFill="1" applyBorder="1" applyAlignment="1">
      <alignment vertical="top"/>
    </xf>
    <xf numFmtId="3" fontId="47" fillId="12" borderId="2" xfId="0" applyNumberFormat="1" applyFont="1" applyFill="1" applyBorder="1" applyAlignment="1">
      <alignment vertical="top"/>
    </xf>
    <xf numFmtId="3" fontId="47" fillId="12" borderId="39" xfId="0" applyNumberFormat="1" applyFont="1" applyFill="1" applyBorder="1" applyAlignment="1">
      <alignment vertical="top"/>
    </xf>
    <xf numFmtId="3" fontId="47" fillId="12" borderId="14" xfId="0" applyNumberFormat="1" applyFont="1" applyFill="1" applyBorder="1" applyAlignment="1">
      <alignment vertical="top"/>
    </xf>
    <xf numFmtId="0" fontId="19" fillId="12" borderId="40" xfId="0" applyFont="1" applyFill="1" applyBorder="1" applyAlignment="1">
      <alignment vertical="top" wrapText="1"/>
    </xf>
    <xf numFmtId="3" fontId="20" fillId="12" borderId="5" xfId="0" applyNumberFormat="1" applyFont="1" applyFill="1" applyBorder="1" applyAlignment="1">
      <alignment vertical="top"/>
    </xf>
    <xf numFmtId="3" fontId="20" fillId="12" borderId="4" xfId="0" applyNumberFormat="1" applyFont="1" applyFill="1" applyBorder="1" applyAlignment="1">
      <alignment vertical="top"/>
    </xf>
    <xf numFmtId="3" fontId="20" fillId="12" borderId="54" xfId="0" applyNumberFormat="1" applyFont="1" applyFill="1" applyBorder="1" applyAlignment="1">
      <alignment vertical="top"/>
    </xf>
    <xf numFmtId="3" fontId="20" fillId="12" borderId="1" xfId="0" applyNumberFormat="1" applyFont="1" applyFill="1" applyBorder="1" applyAlignment="1">
      <alignment vertical="top"/>
    </xf>
    <xf numFmtId="3" fontId="20" fillId="12" borderId="3" xfId="0" applyNumberFormat="1" applyFont="1" applyFill="1" applyBorder="1" applyAlignment="1">
      <alignment vertical="top"/>
    </xf>
    <xf numFmtId="3" fontId="20" fillId="12" borderId="38" xfId="0" applyNumberFormat="1" applyFont="1" applyFill="1" applyBorder="1" applyAlignment="1">
      <alignment vertical="top"/>
    </xf>
    <xf numFmtId="3" fontId="2" fillId="12" borderId="16" xfId="0" applyNumberFormat="1" applyFont="1" applyFill="1" applyBorder="1" applyAlignment="1">
      <alignment horizontal="right" vertical="top" wrapText="1"/>
    </xf>
    <xf numFmtId="0" fontId="15" fillId="12" borderId="1" xfId="0" applyFont="1" applyFill="1" applyBorder="1" applyAlignment="1">
      <alignment horizontal="left" vertical="top" wrapText="1"/>
    </xf>
    <xf numFmtId="0" fontId="19" fillId="12" borderId="1" xfId="0" applyFont="1" applyFill="1" applyBorder="1" applyAlignment="1">
      <alignment horizontal="left" vertical="top" wrapText="1"/>
    </xf>
    <xf numFmtId="0" fontId="19" fillId="12" borderId="39" xfId="0" applyFont="1" applyFill="1" applyBorder="1" applyAlignment="1">
      <alignment vertical="top" wrapText="1"/>
    </xf>
    <xf numFmtId="0" fontId="19" fillId="12" borderId="3" xfId="0" applyFont="1" applyFill="1" applyBorder="1" applyAlignment="1">
      <alignment horizontal="left" vertical="top" wrapText="1"/>
    </xf>
    <xf numFmtId="0" fontId="15" fillId="12" borderId="3" xfId="0" applyFont="1" applyFill="1" applyBorder="1" applyAlignment="1">
      <alignment horizontal="left" vertical="top" wrapText="1"/>
    </xf>
    <xf numFmtId="3" fontId="20" fillId="12" borderId="11" xfId="0" applyNumberFormat="1" applyFont="1" applyFill="1" applyBorder="1" applyAlignment="1">
      <alignment vertical="top"/>
    </xf>
    <xf numFmtId="3" fontId="20" fillId="12" borderId="12" xfId="0" applyNumberFormat="1" applyFont="1" applyFill="1" applyBorder="1" applyAlignment="1">
      <alignment vertical="top"/>
    </xf>
    <xf numFmtId="3" fontId="47" fillId="12" borderId="20" xfId="0" applyNumberFormat="1" applyFont="1" applyFill="1" applyBorder="1" applyAlignment="1">
      <alignment vertical="top"/>
    </xf>
    <xf numFmtId="3" fontId="47" fillId="12" borderId="11" xfId="0" applyNumberFormat="1" applyFont="1" applyFill="1" applyBorder="1" applyAlignment="1">
      <alignment vertical="top"/>
    </xf>
    <xf numFmtId="3" fontId="47" fillId="12" borderId="26" xfId="0" applyNumberFormat="1" applyFont="1" applyFill="1" applyBorder="1" applyAlignment="1">
      <alignment vertical="top"/>
    </xf>
    <xf numFmtId="3" fontId="47" fillId="12" borderId="12" xfId="0" applyNumberFormat="1" applyFont="1" applyFill="1" applyBorder="1" applyAlignment="1">
      <alignment vertical="top"/>
    </xf>
    <xf numFmtId="3" fontId="48" fillId="12" borderId="13" xfId="0" applyNumberFormat="1" applyFont="1" applyFill="1" applyBorder="1" applyAlignment="1">
      <alignment horizontal="right" vertical="top"/>
    </xf>
    <xf numFmtId="3" fontId="48" fillId="12" borderId="3" xfId="0" applyNumberFormat="1" applyFont="1" applyFill="1" applyBorder="1" applyAlignment="1">
      <alignment horizontal="right" vertical="top"/>
    </xf>
    <xf numFmtId="3" fontId="48" fillId="12" borderId="12" xfId="0" applyNumberFormat="1" applyFont="1" applyFill="1" applyBorder="1" applyAlignment="1">
      <alignment horizontal="right" vertical="top"/>
    </xf>
    <xf numFmtId="0" fontId="15" fillId="12" borderId="46" xfId="0" applyFont="1" applyFill="1" applyBorder="1" applyAlignment="1">
      <alignment horizontal="left" vertical="top" wrapText="1"/>
    </xf>
    <xf numFmtId="0" fontId="19" fillId="12" borderId="46" xfId="0" applyFont="1" applyFill="1" applyBorder="1" applyAlignment="1">
      <alignment horizontal="left" vertical="top" wrapText="1"/>
    </xf>
    <xf numFmtId="0" fontId="15" fillId="12" borderId="21" xfId="0" applyFont="1" applyFill="1" applyBorder="1" applyAlignment="1">
      <alignment horizontal="left" vertical="top" wrapText="1"/>
    </xf>
    <xf numFmtId="3" fontId="48" fillId="12" borderId="50" xfId="0" applyNumberFormat="1" applyFont="1" applyFill="1" applyBorder="1" applyAlignment="1">
      <alignment horizontal="right" vertical="top"/>
    </xf>
    <xf numFmtId="3" fontId="48" fillId="12" borderId="45" xfId="0" applyNumberFormat="1" applyFont="1" applyFill="1" applyBorder="1" applyAlignment="1">
      <alignment horizontal="right" vertical="top"/>
    </xf>
    <xf numFmtId="3" fontId="48" fillId="12" borderId="48" xfId="0" applyNumberFormat="1" applyFont="1" applyFill="1" applyBorder="1" applyAlignment="1">
      <alignment horizontal="right" vertical="top"/>
    </xf>
    <xf numFmtId="0" fontId="19" fillId="12" borderId="47" xfId="0" applyFont="1" applyFill="1" applyBorder="1" applyAlignment="1">
      <alignment vertical="top" wrapText="1"/>
    </xf>
    <xf numFmtId="0" fontId="19" fillId="12" borderId="1" xfId="1" applyFont="1" applyFill="1" applyBorder="1" applyAlignment="1">
      <alignment horizontal="left" vertical="top" wrapText="1"/>
    </xf>
    <xf numFmtId="0" fontId="19" fillId="12" borderId="31" xfId="0" applyFont="1" applyFill="1" applyBorder="1" applyAlignment="1">
      <alignment horizontal="left" vertical="top" wrapText="1"/>
    </xf>
    <xf numFmtId="0" fontId="19" fillId="12" borderId="3" xfId="1" applyFont="1" applyFill="1" applyBorder="1" applyAlignment="1">
      <alignment horizontal="left" vertical="top" wrapText="1"/>
    </xf>
    <xf numFmtId="0" fontId="19" fillId="12" borderId="0" xfId="0" applyFont="1" applyFill="1" applyAlignment="1">
      <alignment vertical="top" wrapText="1"/>
    </xf>
    <xf numFmtId="0" fontId="19" fillId="12" borderId="21" xfId="1" applyFont="1" applyFill="1" applyBorder="1" applyAlignment="1">
      <alignment horizontal="left" vertical="top" wrapText="1"/>
    </xf>
    <xf numFmtId="3" fontId="15" fillId="0" borderId="4" xfId="0" applyNumberFormat="1" applyFont="1" applyBorder="1" applyAlignment="1">
      <alignment vertical="top"/>
    </xf>
    <xf numFmtId="3" fontId="15" fillId="0" borderId="5" xfId="0" applyNumberFormat="1" applyFont="1" applyBorder="1" applyAlignment="1">
      <alignment vertical="top"/>
    </xf>
    <xf numFmtId="3" fontId="15" fillId="0" borderId="6" xfId="0" applyNumberFormat="1" applyFont="1" applyBorder="1" applyAlignment="1">
      <alignment vertical="top"/>
    </xf>
    <xf numFmtId="3" fontId="21" fillId="0" borderId="18" xfId="0" applyNumberFormat="1" applyFont="1" applyBorder="1" applyAlignment="1">
      <alignment vertical="top"/>
    </xf>
    <xf numFmtId="3" fontId="21" fillId="0" borderId="16" xfId="0" applyNumberFormat="1" applyFont="1" applyBorder="1" applyAlignment="1">
      <alignment vertical="top"/>
    </xf>
    <xf numFmtId="3" fontId="21" fillId="0" borderId="15" xfId="0" applyNumberFormat="1" applyFont="1" applyBorder="1" applyAlignment="1">
      <alignment vertical="top"/>
    </xf>
    <xf numFmtId="0" fontId="19" fillId="11" borderId="31" xfId="0" applyFont="1" applyFill="1" applyBorder="1" applyAlignment="1" applyProtection="1">
      <alignment horizontal="left" vertical="top" wrapText="1"/>
      <protection locked="0"/>
    </xf>
    <xf numFmtId="0" fontId="17" fillId="4" borderId="41" xfId="0" applyFont="1" applyFill="1" applyBorder="1" applyAlignment="1">
      <alignment horizontal="center" vertical="top"/>
    </xf>
    <xf numFmtId="49" fontId="17" fillId="4" borderId="7" xfId="0" applyNumberFormat="1" applyFont="1" applyFill="1" applyBorder="1" applyAlignment="1">
      <alignment horizontal="center" vertical="top" wrapText="1"/>
    </xf>
    <xf numFmtId="49" fontId="17" fillId="4" borderId="8" xfId="0" applyNumberFormat="1" applyFont="1" applyFill="1" applyBorder="1" applyAlignment="1">
      <alignment horizontal="center" vertical="top" wrapText="1"/>
    </xf>
    <xf numFmtId="49" fontId="13" fillId="4" borderId="8" xfId="0" applyNumberFormat="1" applyFont="1" applyFill="1" applyBorder="1" applyAlignment="1">
      <alignment horizontal="center" vertical="top" wrapText="1"/>
    </xf>
    <xf numFmtId="49" fontId="13" fillId="4" borderId="8" xfId="0" applyNumberFormat="1" applyFont="1" applyFill="1" applyBorder="1" applyAlignment="1">
      <alignment horizontal="center" vertical="top"/>
    </xf>
    <xf numFmtId="1" fontId="13" fillId="4" borderId="8" xfId="0" applyNumberFormat="1" applyFont="1" applyFill="1" applyBorder="1" applyAlignment="1">
      <alignment horizontal="center" vertical="top" wrapText="1"/>
    </xf>
    <xf numFmtId="49" fontId="17" fillId="4" borderId="10" xfId="0" applyNumberFormat="1" applyFont="1" applyFill="1" applyBorder="1" applyAlignment="1">
      <alignment horizontal="center" vertical="top" wrapText="1"/>
    </xf>
    <xf numFmtId="49" fontId="12" fillId="4" borderId="8" xfId="0" applyNumberFormat="1" applyFont="1" applyFill="1" applyBorder="1" applyAlignment="1">
      <alignment horizontal="center" vertical="top" wrapText="1"/>
    </xf>
    <xf numFmtId="1" fontId="12" fillId="4" borderId="8" xfId="0" applyNumberFormat="1" applyFont="1" applyFill="1" applyBorder="1" applyAlignment="1">
      <alignment horizontal="center" vertical="top" wrapText="1"/>
    </xf>
    <xf numFmtId="0" fontId="12" fillId="4" borderId="8" xfId="0" applyFont="1" applyFill="1" applyBorder="1" applyAlignment="1">
      <alignment horizontal="center" vertical="top" wrapText="1"/>
    </xf>
    <xf numFmtId="164" fontId="6" fillId="4" borderId="8" xfId="0" applyNumberFormat="1" applyFont="1" applyFill="1" applyBorder="1" applyAlignment="1">
      <alignment horizontal="center" vertical="top" wrapText="1"/>
    </xf>
    <xf numFmtId="164" fontId="6" fillId="4" borderId="10" xfId="0" applyNumberFormat="1" applyFont="1" applyFill="1" applyBorder="1" applyAlignment="1">
      <alignment horizontal="center" vertical="top" wrapText="1"/>
    </xf>
    <xf numFmtId="3" fontId="20" fillId="11" borderId="4" xfId="0" applyNumberFormat="1" applyFont="1" applyFill="1" applyBorder="1" applyAlignment="1" applyProtection="1">
      <alignment vertical="top"/>
      <protection locked="0"/>
    </xf>
    <xf numFmtId="3" fontId="20" fillId="11" borderId="5" xfId="0" applyNumberFormat="1" applyFont="1" applyFill="1" applyBorder="1" applyAlignment="1" applyProtection="1">
      <alignment vertical="top"/>
      <protection locked="0"/>
    </xf>
    <xf numFmtId="3" fontId="20" fillId="11" borderId="6" xfId="0" applyNumberFormat="1" applyFont="1" applyFill="1" applyBorder="1" applyAlignment="1" applyProtection="1">
      <alignment vertical="top"/>
      <protection locked="0"/>
    </xf>
    <xf numFmtId="3" fontId="20" fillId="0" borderId="18" xfId="0" applyNumberFormat="1" applyFont="1" applyBorder="1" applyAlignment="1">
      <alignment vertical="top"/>
    </xf>
    <xf numFmtId="3" fontId="20" fillId="0" borderId="16" xfId="0" applyNumberFormat="1" applyFont="1" applyBorder="1" applyAlignment="1">
      <alignment vertical="top"/>
    </xf>
    <xf numFmtId="49" fontId="13" fillId="4" borderId="10" xfId="0" applyNumberFormat="1" applyFont="1" applyFill="1" applyBorder="1" applyAlignment="1">
      <alignment horizontal="center" vertical="top" wrapText="1"/>
    </xf>
    <xf numFmtId="49" fontId="11" fillId="4" borderId="7" xfId="0" applyNumberFormat="1" applyFont="1" applyFill="1" applyBorder="1" applyAlignment="1">
      <alignment horizontal="center" vertical="top" wrapText="1"/>
    </xf>
    <xf numFmtId="164" fontId="6" fillId="4" borderId="23" xfId="0" applyNumberFormat="1" applyFont="1" applyFill="1" applyBorder="1" applyAlignment="1">
      <alignment horizontal="center" vertical="top" wrapText="1"/>
    </xf>
    <xf numFmtId="1" fontId="12" fillId="4" borderId="30" xfId="0" applyNumberFormat="1" applyFont="1" applyFill="1" applyBorder="1" applyAlignment="1">
      <alignment horizontal="center" vertical="top" wrapText="1"/>
    </xf>
    <xf numFmtId="164" fontId="0" fillId="4" borderId="30" xfId="0" applyNumberFormat="1" applyFill="1" applyBorder="1" applyAlignment="1">
      <alignment horizontal="left" vertical="top" wrapText="1"/>
    </xf>
    <xf numFmtId="0" fontId="11" fillId="0" borderId="30" xfId="0" applyFont="1" applyBorder="1" applyAlignment="1">
      <alignment vertical="top"/>
    </xf>
    <xf numFmtId="3" fontId="47" fillId="12" borderId="5" xfId="0" applyNumberFormat="1" applyFont="1" applyFill="1" applyBorder="1" applyAlignment="1">
      <alignment vertical="top"/>
    </xf>
    <xf numFmtId="3" fontId="47" fillId="0" borderId="77" xfId="0" applyNumberFormat="1" applyFont="1" applyBorder="1" applyAlignment="1">
      <alignment vertical="top"/>
    </xf>
    <xf numFmtId="0" fontId="2" fillId="11" borderId="21" xfId="0" applyFont="1" applyFill="1" applyBorder="1" applyAlignment="1" applyProtection="1">
      <alignment vertical="top"/>
      <protection locked="0"/>
    </xf>
    <xf numFmtId="0" fontId="2" fillId="11" borderId="13" xfId="0" applyFont="1" applyFill="1" applyBorder="1" applyAlignment="1" applyProtection="1">
      <alignment vertical="top"/>
      <protection locked="0"/>
    </xf>
    <xf numFmtId="0" fontId="2" fillId="11" borderId="12" xfId="0" applyFont="1" applyFill="1" applyBorder="1" applyAlignment="1" applyProtection="1">
      <alignment vertical="top"/>
      <protection locked="0"/>
    </xf>
    <xf numFmtId="0" fontId="2" fillId="11" borderId="96" xfId="0" applyFont="1" applyFill="1" applyBorder="1" applyAlignment="1" applyProtection="1">
      <alignment vertical="top"/>
      <protection locked="0"/>
    </xf>
    <xf numFmtId="0" fontId="2" fillId="11" borderId="48" xfId="0" applyFont="1" applyFill="1" applyBorder="1" applyAlignment="1" applyProtection="1">
      <alignment vertical="top"/>
      <protection locked="0"/>
    </xf>
    <xf numFmtId="3" fontId="47" fillId="0" borderId="18" xfId="0" applyNumberFormat="1" applyFont="1" applyBorder="1" applyAlignment="1">
      <alignment vertical="top"/>
    </xf>
    <xf numFmtId="3" fontId="47" fillId="0" borderId="16" xfId="0" applyNumberFormat="1" applyFont="1" applyBorder="1" applyAlignment="1">
      <alignment vertical="top"/>
    </xf>
    <xf numFmtId="1" fontId="12" fillId="4" borderId="23" xfId="0" applyNumberFormat="1" applyFont="1" applyFill="1" applyBorder="1" applyAlignment="1">
      <alignment horizontal="center" vertical="top" wrapText="1"/>
    </xf>
    <xf numFmtId="0" fontId="19" fillId="12" borderId="26" xfId="0" applyFont="1" applyFill="1" applyBorder="1" applyAlignment="1">
      <alignment vertical="top" wrapText="1"/>
    </xf>
    <xf numFmtId="0" fontId="19" fillId="12" borderId="50" xfId="0" applyFont="1" applyFill="1" applyBorder="1" applyAlignment="1">
      <alignment vertical="top" wrapText="1"/>
    </xf>
    <xf numFmtId="0" fontId="19" fillId="12" borderId="47" xfId="0" applyFont="1" applyFill="1" applyBorder="1" applyAlignment="1">
      <alignment horizontal="center" vertical="top"/>
    </xf>
    <xf numFmtId="0" fontId="2" fillId="12" borderId="47" xfId="0" applyFont="1" applyFill="1" applyBorder="1" applyAlignment="1">
      <alignment vertical="top" wrapText="1"/>
    </xf>
    <xf numFmtId="0" fontId="1" fillId="3" borderId="0" xfId="0" applyFont="1" applyFill="1" applyAlignment="1">
      <alignment horizontal="left" vertical="top"/>
    </xf>
    <xf numFmtId="0" fontId="1" fillId="2" borderId="33" xfId="0" applyFont="1" applyFill="1" applyBorder="1" applyAlignment="1">
      <alignment vertical="top" wrapText="1"/>
    </xf>
    <xf numFmtId="0" fontId="0" fillId="0" borderId="36" xfId="0" applyBorder="1" applyAlignment="1">
      <alignment horizontal="left" vertical="top"/>
    </xf>
    <xf numFmtId="3" fontId="0" fillId="12" borderId="37" xfId="0" applyNumberFormat="1" applyFill="1" applyBorder="1" applyAlignment="1">
      <alignment horizontal="left" vertical="top" wrapText="1"/>
    </xf>
    <xf numFmtId="0" fontId="3" fillId="0" borderId="33" xfId="0" applyFont="1" applyBorder="1" applyAlignment="1">
      <alignment horizontal="left" vertical="top"/>
    </xf>
    <xf numFmtId="0" fontId="0" fillId="0" borderId="43" xfId="0" applyBorder="1" applyAlignment="1">
      <alignment horizontal="left" vertical="top"/>
    </xf>
    <xf numFmtId="3" fontId="47" fillId="12" borderId="70" xfId="0" applyNumberFormat="1" applyFont="1" applyFill="1" applyBorder="1" applyAlignment="1">
      <alignment vertical="top"/>
    </xf>
    <xf numFmtId="3" fontId="47" fillId="0" borderId="57" xfId="0" applyNumberFormat="1" applyFont="1" applyBorder="1" applyAlignment="1">
      <alignment vertical="top"/>
    </xf>
    <xf numFmtId="164" fontId="0" fillId="4" borderId="94" xfId="0" applyNumberFormat="1" applyFill="1" applyBorder="1" applyAlignment="1">
      <alignment horizontal="center" vertical="top" wrapText="1"/>
    </xf>
    <xf numFmtId="164" fontId="0" fillId="4" borderId="95" xfId="0" applyNumberFormat="1" applyFill="1" applyBorder="1" applyAlignment="1">
      <alignment horizontal="center" vertical="top" wrapText="1"/>
    </xf>
    <xf numFmtId="164" fontId="0" fillId="4" borderId="93" xfId="0" applyNumberFormat="1" applyFill="1" applyBorder="1" applyAlignment="1">
      <alignment horizontal="center" vertical="top" wrapText="1"/>
    </xf>
    <xf numFmtId="3" fontId="20" fillId="12" borderId="6" xfId="0" applyNumberFormat="1" applyFont="1" applyFill="1" applyBorder="1" applyAlignment="1">
      <alignment vertical="top"/>
    </xf>
    <xf numFmtId="3" fontId="20" fillId="12" borderId="13" xfId="0" applyNumberFormat="1" applyFont="1" applyFill="1" applyBorder="1" applyAlignment="1">
      <alignment vertical="top"/>
    </xf>
    <xf numFmtId="3" fontId="20" fillId="12" borderId="69" xfId="0" applyNumberFormat="1" applyFont="1" applyFill="1" applyBorder="1" applyAlignment="1">
      <alignment vertical="top"/>
    </xf>
    <xf numFmtId="3" fontId="48" fillId="12" borderId="19" xfId="0" applyNumberFormat="1" applyFont="1" applyFill="1" applyBorder="1" applyAlignment="1">
      <alignment horizontal="right" vertical="top"/>
    </xf>
    <xf numFmtId="3" fontId="48" fillId="12" borderId="44" xfId="0" applyNumberFormat="1" applyFont="1" applyFill="1" applyBorder="1" applyAlignment="1">
      <alignment horizontal="right" vertical="top"/>
    </xf>
    <xf numFmtId="164" fontId="0" fillId="4" borderId="83" xfId="0" applyNumberFormat="1" applyFill="1" applyBorder="1" applyAlignment="1">
      <alignment horizontal="center" vertical="top" wrapText="1"/>
    </xf>
    <xf numFmtId="164" fontId="0" fillId="4" borderId="71" xfId="0" applyNumberFormat="1" applyFill="1" applyBorder="1" applyAlignment="1">
      <alignment horizontal="center" vertical="top" wrapText="1"/>
    </xf>
    <xf numFmtId="3" fontId="47" fillId="12" borderId="3" xfId="0" applyNumberFormat="1" applyFont="1" applyFill="1" applyBorder="1" applyAlignment="1">
      <alignment vertical="top"/>
    </xf>
    <xf numFmtId="3" fontId="47" fillId="12" borderId="13" xfId="0" applyNumberFormat="1" applyFont="1" applyFill="1" applyBorder="1" applyAlignment="1">
      <alignment vertical="top"/>
    </xf>
    <xf numFmtId="0" fontId="17" fillId="0" borderId="28" xfId="0" applyFont="1" applyBorder="1" applyAlignment="1">
      <alignment horizontal="center" vertical="top" wrapText="1"/>
    </xf>
    <xf numFmtId="0" fontId="17" fillId="0" borderId="34" xfId="0" applyFont="1" applyBorder="1" applyAlignment="1">
      <alignment horizontal="left" vertical="top" wrapText="1"/>
    </xf>
    <xf numFmtId="0" fontId="0" fillId="0" borderId="26" xfId="0" applyBorder="1" applyAlignment="1">
      <alignment horizontal="left" vertical="top"/>
    </xf>
    <xf numFmtId="0" fontId="19" fillId="11" borderId="21" xfId="0" applyFont="1" applyFill="1" applyBorder="1" applyAlignment="1" applyProtection="1">
      <alignment horizontal="left" vertical="top" wrapText="1"/>
      <protection locked="0"/>
    </xf>
    <xf numFmtId="0" fontId="19" fillId="11" borderId="20" xfId="0" applyFont="1" applyFill="1" applyBorder="1" applyAlignment="1" applyProtection="1">
      <alignment vertical="top" wrapText="1"/>
      <protection locked="0"/>
    </xf>
    <xf numFmtId="0" fontId="19" fillId="11" borderId="44" xfId="0" applyFont="1" applyFill="1" applyBorder="1" applyAlignment="1" applyProtection="1">
      <alignment vertical="top" wrapText="1"/>
      <protection locked="0"/>
    </xf>
    <xf numFmtId="0" fontId="19" fillId="11" borderId="36" xfId="0" applyFont="1" applyFill="1" applyBorder="1" applyAlignment="1" applyProtection="1">
      <alignment vertical="top" wrapText="1"/>
      <protection locked="0"/>
    </xf>
    <xf numFmtId="0" fontId="2" fillId="11" borderId="36" xfId="0" applyFont="1" applyFill="1" applyBorder="1" applyAlignment="1" applyProtection="1">
      <alignment vertical="top" wrapText="1"/>
      <protection locked="0"/>
    </xf>
    <xf numFmtId="0" fontId="2" fillId="11" borderId="51" xfId="0" applyFont="1" applyFill="1" applyBorder="1" applyAlignment="1" applyProtection="1">
      <alignment vertical="top" wrapText="1"/>
      <protection locked="0"/>
    </xf>
    <xf numFmtId="0" fontId="4" fillId="0" borderId="0" xfId="0" applyFont="1" applyAlignment="1">
      <alignment vertical="top" wrapText="1"/>
    </xf>
    <xf numFmtId="0" fontId="3" fillId="0" borderId="0" xfId="0" applyFont="1" applyAlignment="1">
      <alignment horizontal="right" vertical="top" wrapText="1"/>
    </xf>
    <xf numFmtId="0" fontId="3" fillId="0" borderId="0" xfId="0" applyFont="1" applyAlignment="1">
      <alignment vertical="top" wrapText="1"/>
    </xf>
    <xf numFmtId="3" fontId="3" fillId="0" borderId="0" xfId="0" applyNumberFormat="1" applyFont="1" applyAlignment="1">
      <alignment vertical="top"/>
    </xf>
    <xf numFmtId="3" fontId="3" fillId="0" borderId="0" xfId="0" applyNumberFormat="1" applyFont="1" applyAlignment="1">
      <alignment horizontal="right" vertical="top" wrapText="1"/>
    </xf>
    <xf numFmtId="3" fontId="4" fillId="0" borderId="0" xfId="0" applyNumberFormat="1" applyFont="1" applyAlignment="1">
      <alignment horizontal="right" vertical="top" wrapText="1"/>
    </xf>
    <xf numFmtId="3" fontId="4" fillId="0" borderId="0" xfId="0" applyNumberFormat="1" applyFont="1" applyAlignment="1">
      <alignment vertical="top"/>
    </xf>
    <xf numFmtId="0" fontId="2" fillId="0" borderId="30" xfId="0" applyFont="1" applyBorder="1" applyAlignment="1">
      <alignment vertical="top" wrapText="1"/>
    </xf>
    <xf numFmtId="0" fontId="49" fillId="0" borderId="25" xfId="0" applyFont="1" applyBorder="1" applyAlignment="1">
      <alignment horizontal="right" vertical="top" wrapText="1"/>
    </xf>
    <xf numFmtId="0" fontId="49" fillId="0" borderId="41" xfId="0" applyFont="1" applyBorder="1" applyAlignment="1">
      <alignment horizontal="right" vertical="top" wrapText="1"/>
    </xf>
    <xf numFmtId="0" fontId="49" fillId="0" borderId="8" xfId="0" applyFont="1" applyBorder="1" applyAlignment="1">
      <alignment horizontal="right" vertical="top" wrapText="1"/>
    </xf>
    <xf numFmtId="0" fontId="49" fillId="0" borderId="10" xfId="0" applyFont="1" applyBorder="1" applyAlignment="1">
      <alignment vertical="top"/>
    </xf>
    <xf numFmtId="0" fontId="49" fillId="0" borderId="60" xfId="0" applyFont="1" applyBorder="1" applyAlignment="1">
      <alignment vertical="top" wrapText="1"/>
    </xf>
    <xf numFmtId="3" fontId="49" fillId="0" borderId="30" xfId="0" applyNumberFormat="1" applyFont="1" applyBorder="1" applyAlignment="1">
      <alignment vertical="top"/>
    </xf>
    <xf numFmtId="3" fontId="49" fillId="0" borderId="7" xfId="0" applyNumberFormat="1" applyFont="1" applyBorder="1" applyAlignment="1">
      <alignment horizontal="right" vertical="top" wrapText="1"/>
    </xf>
    <xf numFmtId="3" fontId="49" fillId="0" borderId="8" xfId="0" applyNumberFormat="1" applyFont="1" applyBorder="1" applyAlignment="1">
      <alignment horizontal="right" vertical="top" wrapText="1"/>
    </xf>
    <xf numFmtId="3" fontId="49" fillId="0" borderId="10" xfId="0" applyNumberFormat="1" applyFont="1" applyBorder="1" applyAlignment="1">
      <alignment horizontal="right" vertical="top" wrapText="1"/>
    </xf>
    <xf numFmtId="0" fontId="49" fillId="0" borderId="39" xfId="0" applyFont="1" applyBorder="1" applyAlignment="1">
      <alignment vertical="top" wrapText="1"/>
    </xf>
    <xf numFmtId="3" fontId="49" fillId="0" borderId="39" xfId="0" applyNumberFormat="1" applyFont="1" applyBorder="1" applyAlignment="1">
      <alignment vertical="top"/>
    </xf>
    <xf numFmtId="3" fontId="2" fillId="0" borderId="31" xfId="0" applyNumberFormat="1" applyFont="1" applyBorder="1" applyAlignment="1">
      <alignment horizontal="right" vertical="top" wrapText="1"/>
    </xf>
    <xf numFmtId="3" fontId="2" fillId="0" borderId="1" xfId="0" applyNumberFormat="1" applyFont="1" applyBorder="1" applyAlignment="1">
      <alignment horizontal="right" vertical="top" wrapText="1"/>
    </xf>
    <xf numFmtId="3" fontId="2" fillId="0" borderId="14" xfId="0" applyNumberFormat="1" applyFont="1" applyBorder="1" applyAlignment="1">
      <alignment horizontal="right" vertical="top" wrapText="1"/>
    </xf>
    <xf numFmtId="0" fontId="49" fillId="0" borderId="26" xfId="0" applyFont="1" applyBorder="1" applyAlignment="1">
      <alignment vertical="top" wrapText="1"/>
    </xf>
    <xf numFmtId="3" fontId="49" fillId="0" borderId="26" xfId="0" applyNumberFormat="1" applyFont="1" applyBorder="1" applyAlignment="1">
      <alignment vertical="top"/>
    </xf>
    <xf numFmtId="3" fontId="2" fillId="0" borderId="13" xfId="0" applyNumberFormat="1" applyFont="1" applyBorder="1" applyAlignment="1">
      <alignment horizontal="right" vertical="top" wrapText="1"/>
    </xf>
    <xf numFmtId="3" fontId="2" fillId="0" borderId="3" xfId="0" applyNumberFormat="1" applyFont="1" applyBorder="1" applyAlignment="1">
      <alignment horizontal="right" vertical="top" wrapText="1"/>
    </xf>
    <xf numFmtId="3" fontId="2" fillId="0" borderId="12" xfId="0" applyNumberFormat="1" applyFont="1" applyBorder="1" applyAlignment="1">
      <alignment horizontal="right" vertical="top" wrapText="1"/>
    </xf>
    <xf numFmtId="0" fontId="49" fillId="0" borderId="35" xfId="0" applyFont="1" applyBorder="1" applyAlignment="1">
      <alignment vertical="top" wrapText="1"/>
    </xf>
    <xf numFmtId="3" fontId="49" fillId="0" borderId="35" xfId="0" applyNumberFormat="1" applyFont="1" applyBorder="1" applyAlignment="1">
      <alignment vertical="top"/>
    </xf>
    <xf numFmtId="3" fontId="2" fillId="0" borderId="18" xfId="0" applyNumberFormat="1" applyFont="1" applyBorder="1" applyAlignment="1">
      <alignment horizontal="right" vertical="top" wrapText="1"/>
    </xf>
    <xf numFmtId="3" fontId="2" fillId="0" borderId="16" xfId="0" applyNumberFormat="1" applyFont="1" applyBorder="1" applyAlignment="1">
      <alignment horizontal="right" vertical="top" wrapText="1"/>
    </xf>
    <xf numFmtId="3" fontId="2" fillId="0" borderId="15" xfId="0" applyNumberFormat="1" applyFont="1" applyBorder="1" applyAlignment="1">
      <alignment horizontal="right" vertical="top" wrapText="1"/>
    </xf>
    <xf numFmtId="0" fontId="49" fillId="0" borderId="30" xfId="0" applyFont="1" applyBorder="1" applyAlignment="1">
      <alignment horizontal="right" vertical="top" wrapText="1"/>
    </xf>
    <xf numFmtId="0" fontId="49" fillId="0" borderId="79" xfId="0" applyFont="1" applyBorder="1" applyAlignment="1">
      <alignment horizontal="right" vertical="top" wrapText="1"/>
    </xf>
    <xf numFmtId="0" fontId="49" fillId="0" borderId="74" xfId="0" applyFont="1" applyBorder="1" applyAlignment="1">
      <alignment vertical="top" wrapText="1"/>
    </xf>
    <xf numFmtId="3" fontId="49" fillId="0" borderId="74" xfId="0" applyNumberFormat="1" applyFont="1" applyBorder="1" applyAlignment="1">
      <alignment horizontal="right" vertical="top" wrapText="1"/>
    </xf>
    <xf numFmtId="3" fontId="49" fillId="0" borderId="76" xfId="0" applyNumberFormat="1" applyFont="1" applyBorder="1" applyAlignment="1">
      <alignment horizontal="right" vertical="top" wrapText="1"/>
    </xf>
    <xf numFmtId="3" fontId="49" fillId="0" borderId="77" xfId="0" applyNumberFormat="1" applyFont="1" applyBorder="1" applyAlignment="1">
      <alignment horizontal="right" vertical="top" wrapText="1"/>
    </xf>
    <xf numFmtId="3" fontId="49" fillId="0" borderId="78" xfId="0" applyNumberFormat="1" applyFont="1" applyBorder="1" applyAlignment="1">
      <alignment horizontal="right" vertical="top" wrapText="1"/>
    </xf>
    <xf numFmtId="0" fontId="37" fillId="0" borderId="40" xfId="0" applyFont="1" applyBorder="1" applyAlignment="1">
      <alignment vertical="top" wrapText="1"/>
    </xf>
    <xf numFmtId="3" fontId="49" fillId="0" borderId="40" xfId="0" applyNumberFormat="1" applyFont="1" applyBorder="1" applyAlignment="1">
      <alignment vertical="top"/>
    </xf>
    <xf numFmtId="3" fontId="2" fillId="0" borderId="75" xfId="0" applyNumberFormat="1" applyFont="1" applyBorder="1" applyAlignment="1">
      <alignment vertical="top"/>
    </xf>
    <xf numFmtId="3" fontId="2" fillId="0" borderId="1" xfId="0" applyNumberFormat="1" applyFont="1" applyBorder="1" applyAlignment="1">
      <alignment vertical="top"/>
    </xf>
    <xf numFmtId="3" fontId="2" fillId="0" borderId="14" xfId="0" applyNumberFormat="1" applyFont="1" applyBorder="1" applyAlignment="1">
      <alignment vertical="top"/>
    </xf>
    <xf numFmtId="3" fontId="49" fillId="0" borderId="36" xfId="0" applyNumberFormat="1" applyFont="1" applyBorder="1" applyAlignment="1">
      <alignment vertical="top"/>
    </xf>
    <xf numFmtId="3" fontId="2" fillId="0" borderId="19" xfId="0" applyNumberFormat="1" applyFont="1" applyBorder="1" applyAlignment="1">
      <alignment vertical="top"/>
    </xf>
    <xf numFmtId="3" fontId="2" fillId="0" borderId="3" xfId="0" applyNumberFormat="1" applyFont="1" applyBorder="1" applyAlignment="1">
      <alignment vertical="top"/>
    </xf>
    <xf numFmtId="3" fontId="2" fillId="0" borderId="12" xfId="0" applyNumberFormat="1" applyFont="1" applyBorder="1" applyAlignment="1">
      <alignment vertical="top"/>
    </xf>
    <xf numFmtId="0" fontId="37" fillId="0" borderId="74" xfId="0" applyFont="1" applyBorder="1" applyAlignment="1">
      <alignment vertical="top" wrapText="1"/>
    </xf>
    <xf numFmtId="3" fontId="49" fillId="0" borderId="37" xfId="0" applyNumberFormat="1" applyFont="1" applyBorder="1" applyAlignment="1">
      <alignment vertical="top"/>
    </xf>
    <xf numFmtId="3" fontId="2" fillId="0" borderId="73" xfId="0" applyNumberFormat="1" applyFont="1" applyBorder="1" applyAlignment="1">
      <alignment vertical="top"/>
    </xf>
    <xf numFmtId="3" fontId="2" fillId="0" borderId="16" xfId="0" applyNumberFormat="1" applyFont="1" applyBorder="1" applyAlignment="1">
      <alignment vertical="top"/>
    </xf>
    <xf numFmtId="3" fontId="2" fillId="0" borderId="15" xfId="0" applyNumberFormat="1" applyFont="1" applyBorder="1" applyAlignment="1">
      <alignment vertical="top"/>
    </xf>
    <xf numFmtId="0" fontId="50" fillId="0" borderId="0" xfId="0" applyFont="1" applyAlignment="1">
      <alignment vertical="top"/>
    </xf>
    <xf numFmtId="0" fontId="11" fillId="4" borderId="8" xfId="0" applyFont="1" applyFill="1" applyBorder="1" applyAlignment="1">
      <alignment horizontal="center" vertical="top" wrapText="1"/>
    </xf>
    <xf numFmtId="0" fontId="19" fillId="12" borderId="49" xfId="0" applyFont="1" applyFill="1" applyBorder="1" applyAlignment="1">
      <alignment horizontal="left" vertical="top" wrapText="1"/>
    </xf>
    <xf numFmtId="0" fontId="19" fillId="12" borderId="21" xfId="0" applyFont="1" applyFill="1" applyBorder="1" applyAlignment="1">
      <alignment horizontal="left" vertical="top" wrapText="1"/>
    </xf>
    <xf numFmtId="0" fontId="3" fillId="0" borderId="34" xfId="0" applyFont="1" applyBorder="1" applyAlignment="1">
      <alignment horizontal="left" vertical="top"/>
    </xf>
    <xf numFmtId="49" fontId="12" fillId="4" borderId="7" xfId="0" applyNumberFormat="1" applyFont="1" applyFill="1" applyBorder="1" applyAlignment="1">
      <alignment horizontal="center" vertical="top" wrapText="1"/>
    </xf>
    <xf numFmtId="0" fontId="1" fillId="4" borderId="3" xfId="0" applyFont="1" applyFill="1" applyBorder="1" applyAlignment="1">
      <alignment horizontal="center" vertical="top" wrapText="1"/>
    </xf>
    <xf numFmtId="0" fontId="1" fillId="0" borderId="0" xfId="0" applyFont="1" applyAlignment="1">
      <alignment vertical="top" wrapText="1"/>
    </xf>
    <xf numFmtId="0" fontId="49" fillId="4" borderId="3" xfId="0" applyFont="1" applyFill="1" applyBorder="1" applyAlignment="1">
      <alignment horizontal="center" vertical="top" wrapText="1"/>
    </xf>
    <xf numFmtId="0" fontId="2" fillId="0" borderId="0" xfId="0" applyFont="1" applyAlignment="1">
      <alignment vertical="center"/>
    </xf>
    <xf numFmtId="0" fontId="1" fillId="2" borderId="97" xfId="0" applyFont="1" applyFill="1" applyBorder="1" applyAlignment="1">
      <alignment vertical="top" wrapText="1"/>
    </xf>
    <xf numFmtId="0" fontId="1" fillId="3" borderId="100" xfId="0" applyFont="1" applyFill="1" applyBorder="1" applyAlignment="1">
      <alignment vertical="top" wrapText="1"/>
    </xf>
    <xf numFmtId="0" fontId="0" fillId="3" borderId="101" xfId="0" applyFill="1" applyBorder="1" applyAlignment="1">
      <alignment horizontal="center" vertical="top" wrapText="1"/>
    </xf>
    <xf numFmtId="0" fontId="1" fillId="3" borderId="102" xfId="0" applyFont="1" applyFill="1" applyBorder="1" applyAlignment="1">
      <alignment vertical="top" wrapText="1"/>
    </xf>
    <xf numFmtId="9" fontId="2" fillId="3" borderId="103" xfId="0" applyNumberFormat="1" applyFont="1" applyFill="1" applyBorder="1" applyAlignment="1">
      <alignment horizontal="right" vertical="top" wrapText="1"/>
    </xf>
    <xf numFmtId="9" fontId="2" fillId="3" borderId="104" xfId="0" applyNumberFormat="1" applyFont="1" applyFill="1" applyBorder="1" applyAlignment="1">
      <alignment horizontal="right" vertical="top" wrapText="1"/>
    </xf>
    <xf numFmtId="0" fontId="1" fillId="3" borderId="96" xfId="0" applyFont="1" applyFill="1" applyBorder="1" applyAlignment="1">
      <alignment vertical="top" wrapText="1"/>
    </xf>
    <xf numFmtId="3" fontId="2" fillId="3" borderId="21" xfId="0" applyNumberFormat="1" applyFont="1" applyFill="1" applyBorder="1" applyAlignment="1">
      <alignment horizontal="right" vertical="top" wrapText="1"/>
    </xf>
    <xf numFmtId="3" fontId="2" fillId="3" borderId="48" xfId="0" applyNumberFormat="1" applyFont="1" applyFill="1" applyBorder="1" applyAlignment="1">
      <alignment horizontal="right" vertical="top" wrapText="1"/>
    </xf>
    <xf numFmtId="3" fontId="0" fillId="12" borderId="16" xfId="0" applyNumberFormat="1" applyFill="1" applyBorder="1" applyAlignment="1">
      <alignment horizontal="right" vertical="top" wrapText="1"/>
    </xf>
    <xf numFmtId="3" fontId="0" fillId="12" borderId="17" xfId="0" applyNumberFormat="1" applyFill="1" applyBorder="1" applyAlignment="1">
      <alignment horizontal="right" vertical="top" wrapText="1"/>
    </xf>
    <xf numFmtId="0" fontId="28" fillId="13" borderId="3" xfId="0" applyFont="1" applyFill="1" applyBorder="1" applyAlignment="1">
      <alignment horizontal="center" vertical="top" wrapText="1"/>
    </xf>
    <xf numFmtId="0" fontId="27" fillId="0" borderId="0" xfId="0" applyFont="1"/>
    <xf numFmtId="0" fontId="55" fillId="0" borderId="0" xfId="0" applyFont="1" applyAlignment="1">
      <alignment horizontal="left" vertical="top" wrapText="1"/>
    </xf>
    <xf numFmtId="0" fontId="58" fillId="0" borderId="3" xfId="0" applyFont="1" applyBorder="1" applyAlignment="1">
      <alignment horizontal="left" vertical="top" wrapText="1"/>
    </xf>
    <xf numFmtId="0" fontId="59" fillId="0" borderId="3" xfId="0" applyFont="1" applyBorder="1" applyAlignment="1">
      <alignment horizontal="left" vertical="top" wrapText="1"/>
    </xf>
    <xf numFmtId="0" fontId="61" fillId="0" borderId="3" xfId="2" applyFont="1" applyBorder="1" applyAlignment="1">
      <alignment horizontal="left" vertical="top" wrapText="1"/>
    </xf>
    <xf numFmtId="3" fontId="62" fillId="0" borderId="3" xfId="0" applyNumberFormat="1" applyFont="1" applyBorder="1" applyAlignment="1">
      <alignment horizontal="left" vertical="top" wrapText="1"/>
    </xf>
    <xf numFmtId="0" fontId="58" fillId="0" borderId="21" xfId="0" applyFont="1" applyBorder="1" applyAlignment="1">
      <alignment horizontal="left" vertical="top" wrapText="1"/>
    </xf>
    <xf numFmtId="0" fontId="59" fillId="0" borderId="21" xfId="0" applyFont="1" applyBorder="1" applyAlignment="1">
      <alignment horizontal="left" vertical="top" wrapText="1"/>
    </xf>
    <xf numFmtId="0" fontId="61" fillId="0" borderId="21" xfId="2" applyFont="1" applyBorder="1" applyAlignment="1">
      <alignment horizontal="left" vertical="top" wrapText="1"/>
    </xf>
    <xf numFmtId="0" fontId="63" fillId="3" borderId="3" xfId="0" applyFont="1" applyFill="1" applyBorder="1" applyAlignment="1">
      <alignment horizontal="left" vertical="top" wrapText="1"/>
    </xf>
    <xf numFmtId="3" fontId="63" fillId="3" borderId="3" xfId="0" applyNumberFormat="1" applyFont="1" applyFill="1" applyBorder="1" applyAlignment="1">
      <alignment horizontal="left" vertical="top"/>
    </xf>
    <xf numFmtId="0" fontId="55" fillId="0" borderId="3" xfId="0" applyFont="1" applyBorder="1" applyAlignment="1">
      <alignment vertical="top" wrapText="1"/>
    </xf>
    <xf numFmtId="0" fontId="55" fillId="0" borderId="3" xfId="0" applyFont="1" applyBorder="1" applyAlignment="1">
      <alignment horizontal="left" vertical="top" wrapText="1"/>
    </xf>
    <xf numFmtId="3" fontId="55" fillId="0" borderId="3" xfId="0" applyNumberFormat="1" applyFont="1" applyBorder="1" applyAlignment="1">
      <alignment horizontal="left" vertical="top"/>
    </xf>
    <xf numFmtId="3" fontId="55" fillId="0" borderId="0" xfId="0" applyNumberFormat="1" applyFont="1" applyAlignment="1">
      <alignment horizontal="left" vertical="top" wrapText="1"/>
    </xf>
    <xf numFmtId="0" fontId="15" fillId="0" borderId="19" xfId="0" applyFont="1" applyBorder="1" applyAlignment="1">
      <alignment wrapText="1"/>
    </xf>
    <xf numFmtId="0" fontId="15" fillId="0" borderId="19" xfId="0" applyFont="1" applyBorder="1"/>
    <xf numFmtId="9" fontId="15" fillId="0" borderId="19" xfId="0" applyNumberFormat="1" applyFont="1" applyBorder="1"/>
    <xf numFmtId="0" fontId="15" fillId="0" borderId="75" xfId="0" applyFont="1" applyBorder="1"/>
    <xf numFmtId="0" fontId="15" fillId="0" borderId="75" xfId="0" applyFont="1" applyBorder="1" applyAlignment="1">
      <alignment wrapText="1"/>
    </xf>
    <xf numFmtId="0" fontId="65" fillId="7" borderId="75" xfId="0" applyFont="1" applyFill="1" applyBorder="1" applyAlignment="1">
      <alignment wrapText="1"/>
    </xf>
    <xf numFmtId="9" fontId="15" fillId="0" borderId="75" xfId="0" applyNumberFormat="1" applyFont="1" applyBorder="1"/>
    <xf numFmtId="0" fontId="65" fillId="0" borderId="19" xfId="0" applyFont="1" applyBorder="1"/>
    <xf numFmtId="0" fontId="60" fillId="0" borderId="3" xfId="2" applyBorder="1" applyAlignment="1">
      <alignment horizontal="left" vertical="top" wrapText="1"/>
    </xf>
    <xf numFmtId="17" fontId="59" fillId="0" borderId="3" xfId="0" applyNumberFormat="1" applyFont="1" applyBorder="1" applyAlignment="1">
      <alignment horizontal="left" vertical="top" wrapText="1"/>
    </xf>
    <xf numFmtId="0" fontId="19" fillId="11" borderId="31" xfId="3" applyFont="1" applyFill="1" applyBorder="1" applyAlignment="1" applyProtection="1">
      <alignment horizontal="left" vertical="top" wrapText="1"/>
      <protection locked="0"/>
    </xf>
    <xf numFmtId="0" fontId="15" fillId="11" borderId="1" xfId="3" applyFont="1" applyFill="1" applyBorder="1" applyAlignment="1" applyProtection="1">
      <alignment horizontal="left" vertical="top" wrapText="1"/>
      <protection locked="0"/>
    </xf>
    <xf numFmtId="0" fontId="19" fillId="11" borderId="1" xfId="3" applyFont="1" applyFill="1" applyBorder="1" applyAlignment="1" applyProtection="1">
      <alignment horizontal="left" vertical="top" wrapText="1"/>
      <protection locked="0"/>
    </xf>
    <xf numFmtId="0" fontId="19" fillId="11" borderId="3" xfId="3" applyFont="1" applyFill="1" applyBorder="1" applyAlignment="1" applyProtection="1">
      <alignment horizontal="left" vertical="top" wrapText="1"/>
      <protection locked="0"/>
    </xf>
    <xf numFmtId="3" fontId="20" fillId="11" borderId="39" xfId="3" applyNumberFormat="1" applyFont="1" applyFill="1" applyBorder="1" applyAlignment="1" applyProtection="1">
      <alignment vertical="top"/>
      <protection locked="0"/>
    </xf>
    <xf numFmtId="3" fontId="20" fillId="11" borderId="2" xfId="3" applyNumberFormat="1" applyFont="1" applyFill="1" applyBorder="1" applyAlignment="1" applyProtection="1">
      <alignment vertical="top"/>
      <protection locked="0"/>
    </xf>
    <xf numFmtId="3" fontId="20" fillId="11" borderId="14" xfId="3" applyNumberFormat="1" applyFont="1" applyFill="1" applyBorder="1" applyAlignment="1" applyProtection="1">
      <alignment vertical="top"/>
      <protection locked="0"/>
    </xf>
    <xf numFmtId="3" fontId="20" fillId="11" borderId="22" xfId="3" applyNumberFormat="1" applyFont="1" applyFill="1" applyBorder="1" applyAlignment="1" applyProtection="1">
      <alignment vertical="top"/>
      <protection locked="0"/>
    </xf>
    <xf numFmtId="3" fontId="20" fillId="11" borderId="13" xfId="3" applyNumberFormat="1" applyFont="1" applyFill="1" applyBorder="1" applyAlignment="1" applyProtection="1">
      <alignment vertical="top"/>
      <protection locked="0"/>
    </xf>
    <xf numFmtId="3" fontId="20" fillId="11" borderId="3" xfId="3" applyNumberFormat="1" applyFont="1" applyFill="1" applyBorder="1" applyAlignment="1" applyProtection="1">
      <alignment vertical="top"/>
      <protection locked="0"/>
    </xf>
    <xf numFmtId="3" fontId="20" fillId="11" borderId="12" xfId="3" applyNumberFormat="1" applyFont="1" applyFill="1" applyBorder="1" applyAlignment="1" applyProtection="1">
      <alignment vertical="top"/>
      <protection locked="0"/>
    </xf>
    <xf numFmtId="3" fontId="20" fillId="11" borderId="26" xfId="3" applyNumberFormat="1" applyFont="1" applyFill="1" applyBorder="1" applyAlignment="1" applyProtection="1">
      <alignment vertical="top"/>
      <protection locked="0"/>
    </xf>
    <xf numFmtId="3" fontId="20" fillId="11" borderId="11" xfId="3" applyNumberFormat="1" applyFont="1" applyFill="1" applyBorder="1" applyAlignment="1" applyProtection="1">
      <alignment vertical="top"/>
      <protection locked="0"/>
    </xf>
    <xf numFmtId="3" fontId="20" fillId="11" borderId="20" xfId="3" applyNumberFormat="1" applyFont="1" applyFill="1" applyBorder="1" applyAlignment="1" applyProtection="1">
      <alignment vertical="top"/>
      <protection locked="0"/>
    </xf>
    <xf numFmtId="3" fontId="71" fillId="17" borderId="16" xfId="0" applyNumberFormat="1" applyFont="1" applyFill="1" applyBorder="1" applyAlignment="1" applyProtection="1">
      <alignment horizontal="right" vertical="top" wrapText="1"/>
      <protection locked="0"/>
    </xf>
    <xf numFmtId="3" fontId="71" fillId="17" borderId="73" xfId="0" applyNumberFormat="1" applyFont="1" applyFill="1" applyBorder="1" applyAlignment="1" applyProtection="1">
      <alignment horizontal="right" vertical="top" wrapText="1"/>
      <protection locked="0"/>
    </xf>
    <xf numFmtId="3" fontId="71" fillId="17" borderId="42" xfId="0" applyNumberFormat="1" applyFont="1" applyFill="1" applyBorder="1" applyAlignment="1" applyProtection="1">
      <alignment horizontal="right" vertical="top" wrapText="1"/>
      <protection locked="0"/>
    </xf>
    <xf numFmtId="0" fontId="19" fillId="11" borderId="0" xfId="0" applyFont="1" applyFill="1" applyAlignment="1" applyProtection="1">
      <alignment vertical="top"/>
      <protection locked="0"/>
    </xf>
    <xf numFmtId="4" fontId="72" fillId="0" borderId="0" xfId="0" applyNumberFormat="1" applyFont="1" applyAlignment="1" applyProtection="1">
      <alignment vertical="top"/>
      <protection locked="0"/>
    </xf>
    <xf numFmtId="0" fontId="15" fillId="0" borderId="82" xfId="0" applyFont="1" applyBorder="1"/>
    <xf numFmtId="0" fontId="15" fillId="0" borderId="82" xfId="0" applyFont="1" applyBorder="1" applyAlignment="1">
      <alignment wrapText="1"/>
    </xf>
    <xf numFmtId="0" fontId="64" fillId="0" borderId="82" xfId="0" applyFont="1" applyBorder="1"/>
    <xf numFmtId="9" fontId="15" fillId="0" borderId="82" xfId="0" applyNumberFormat="1" applyFont="1" applyBorder="1"/>
    <xf numFmtId="0" fontId="0" fillId="0" borderId="0" xfId="0" applyAlignment="1">
      <alignment wrapText="1"/>
    </xf>
    <xf numFmtId="3" fontId="62" fillId="0" borderId="45" xfId="0" applyNumberFormat="1" applyFont="1" applyBorder="1" applyAlignment="1">
      <alignment horizontal="left" vertical="top" wrapText="1"/>
    </xf>
    <xf numFmtId="0" fontId="62" fillId="0" borderId="3" xfId="0" applyFont="1" applyBorder="1" applyAlignment="1">
      <alignment horizontal="left" vertical="top" wrapText="1"/>
    </xf>
    <xf numFmtId="0" fontId="15" fillId="0" borderId="106" xfId="0" applyFont="1" applyBorder="1"/>
    <xf numFmtId="0" fontId="15" fillId="0" borderId="106" xfId="0" applyFont="1" applyBorder="1" applyAlignment="1">
      <alignment wrapText="1"/>
    </xf>
    <xf numFmtId="9" fontId="15" fillId="0" borderId="106" xfId="0" applyNumberFormat="1" applyFont="1" applyBorder="1"/>
    <xf numFmtId="0" fontId="15" fillId="18" borderId="3" xfId="0" applyFont="1" applyFill="1" applyBorder="1"/>
    <xf numFmtId="0" fontId="15" fillId="18" borderId="3" xfId="0" applyFont="1" applyFill="1" applyBorder="1" applyAlignment="1">
      <alignment wrapText="1"/>
    </xf>
    <xf numFmtId="9" fontId="15" fillId="18" borderId="3" xfId="0" applyNumberFormat="1" applyFont="1" applyFill="1" applyBorder="1"/>
    <xf numFmtId="0" fontId="15" fillId="18" borderId="82" xfId="0" applyFont="1" applyFill="1" applyBorder="1" applyAlignment="1">
      <alignment wrapText="1"/>
    </xf>
    <xf numFmtId="0" fontId="15" fillId="0" borderId="107" xfId="0" applyFont="1" applyBorder="1"/>
    <xf numFmtId="0" fontId="15" fillId="18" borderId="19" xfId="0" applyFont="1" applyFill="1" applyBorder="1"/>
    <xf numFmtId="0" fontId="81" fillId="19" borderId="105" xfId="0" applyFont="1" applyFill="1" applyBorder="1" applyAlignment="1">
      <alignment wrapText="1"/>
    </xf>
    <xf numFmtId="0" fontId="19" fillId="4" borderId="0" xfId="0" applyFont="1" applyFill="1" applyAlignment="1">
      <alignment vertical="top"/>
    </xf>
    <xf numFmtId="0" fontId="2" fillId="4" borderId="0" xfId="0" applyFont="1" applyFill="1" applyAlignment="1">
      <alignment vertical="top"/>
    </xf>
    <xf numFmtId="0" fontId="66" fillId="11" borderId="1" xfId="0" applyFont="1" applyFill="1" applyBorder="1" applyAlignment="1" applyProtection="1">
      <alignment horizontal="left" vertical="top" wrapText="1"/>
      <protection locked="0"/>
    </xf>
    <xf numFmtId="0" fontId="19" fillId="11" borderId="0" xfId="0" applyFont="1" applyFill="1" applyAlignment="1">
      <alignment vertical="top"/>
    </xf>
    <xf numFmtId="3" fontId="16" fillId="12" borderId="110" xfId="0" applyNumberFormat="1" applyFont="1" applyFill="1" applyBorder="1" applyAlignment="1">
      <alignment vertical="top"/>
    </xf>
    <xf numFmtId="3" fontId="20" fillId="12" borderId="108" xfId="0" applyNumberFormat="1" applyFont="1" applyFill="1" applyBorder="1" applyAlignment="1">
      <alignment vertical="top"/>
    </xf>
    <xf numFmtId="3" fontId="20" fillId="12" borderId="109" xfId="0" applyNumberFormat="1" applyFont="1" applyFill="1" applyBorder="1" applyAlignment="1">
      <alignment vertical="top"/>
    </xf>
    <xf numFmtId="3" fontId="20" fillId="12" borderId="103" xfId="0" applyNumberFormat="1" applyFont="1" applyFill="1" applyBorder="1" applyAlignment="1">
      <alignment vertical="top"/>
    </xf>
    <xf numFmtId="3" fontId="20" fillId="12" borderId="111" xfId="0" applyNumberFormat="1" applyFont="1" applyFill="1" applyBorder="1" applyAlignment="1">
      <alignment vertical="top"/>
    </xf>
    <xf numFmtId="3" fontId="20" fillId="11" borderId="112" xfId="0" applyNumberFormat="1" applyFont="1" applyFill="1" applyBorder="1" applyAlignment="1" applyProtection="1">
      <alignment vertical="top"/>
      <protection locked="0"/>
    </xf>
    <xf numFmtId="3" fontId="20" fillId="11" borderId="113" xfId="0" applyNumberFormat="1" applyFont="1" applyFill="1" applyBorder="1" applyAlignment="1" applyProtection="1">
      <alignment vertical="top"/>
      <protection locked="0"/>
    </xf>
    <xf numFmtId="3" fontId="20" fillId="11" borderId="110" xfId="0" applyNumberFormat="1" applyFont="1" applyFill="1" applyBorder="1" applyAlignment="1" applyProtection="1">
      <alignment vertical="top"/>
      <protection locked="0"/>
    </xf>
    <xf numFmtId="3" fontId="20" fillId="11" borderId="114" xfId="0" applyNumberFormat="1" applyFont="1" applyFill="1" applyBorder="1" applyAlignment="1" applyProtection="1">
      <alignment vertical="top"/>
      <protection locked="0"/>
    </xf>
    <xf numFmtId="3" fontId="20" fillId="11" borderId="115" xfId="0" applyNumberFormat="1" applyFont="1" applyFill="1" applyBorder="1" applyAlignment="1" applyProtection="1">
      <alignment vertical="top"/>
      <protection locked="0"/>
    </xf>
    <xf numFmtId="3" fontId="20" fillId="11" borderId="103" xfId="0" applyNumberFormat="1" applyFont="1" applyFill="1" applyBorder="1" applyAlignment="1" applyProtection="1">
      <alignment vertical="top"/>
      <protection locked="0"/>
    </xf>
    <xf numFmtId="3" fontId="20" fillId="11" borderId="116" xfId="0" applyNumberFormat="1" applyFont="1" applyFill="1" applyBorder="1" applyAlignment="1" applyProtection="1">
      <alignment vertical="top"/>
      <protection locked="0"/>
    </xf>
    <xf numFmtId="0" fontId="19" fillId="0" borderId="114" xfId="0" applyFont="1" applyBorder="1" applyAlignment="1">
      <alignment vertical="top"/>
    </xf>
    <xf numFmtId="3" fontId="20" fillId="11" borderId="31" xfId="0" applyNumberFormat="1" applyFont="1" applyFill="1" applyBorder="1" applyAlignment="1" applyProtection="1">
      <alignment vertical="top"/>
      <protection locked="0"/>
    </xf>
    <xf numFmtId="3" fontId="20" fillId="11" borderId="1" xfId="0" applyNumberFormat="1" applyFont="1" applyFill="1" applyBorder="1" applyAlignment="1" applyProtection="1">
      <alignment vertical="top"/>
      <protection locked="0"/>
    </xf>
    <xf numFmtId="0" fontId="64" fillId="4" borderId="1" xfId="0" applyFont="1" applyFill="1" applyBorder="1" applyAlignment="1">
      <alignment wrapText="1"/>
    </xf>
    <xf numFmtId="0" fontId="64" fillId="4" borderId="75" xfId="0" applyFont="1" applyFill="1" applyBorder="1" applyAlignment="1">
      <alignment wrapText="1"/>
    </xf>
    <xf numFmtId="0" fontId="64" fillId="4" borderId="19" xfId="0" applyFont="1" applyFill="1" applyBorder="1" applyAlignment="1">
      <alignment wrapText="1"/>
    </xf>
    <xf numFmtId="0" fontId="64" fillId="16" borderId="1" xfId="0" applyFont="1" applyFill="1" applyBorder="1" applyAlignment="1" applyProtection="1">
      <alignment horizontal="left" vertical="top" wrapText="1"/>
      <protection locked="0"/>
    </xf>
    <xf numFmtId="0" fontId="64" fillId="16" borderId="75" xfId="0" applyFont="1" applyFill="1" applyBorder="1" applyAlignment="1" applyProtection="1">
      <alignment horizontal="left" vertical="top" wrapText="1"/>
      <protection locked="0"/>
    </xf>
    <xf numFmtId="0" fontId="64" fillId="16" borderId="75" xfId="0" applyFont="1" applyFill="1" applyBorder="1" applyAlignment="1" applyProtection="1">
      <alignment vertical="top" wrapText="1"/>
      <protection locked="0"/>
    </xf>
    <xf numFmtId="0" fontId="83" fillId="4" borderId="39" xfId="0" applyFont="1" applyFill="1" applyBorder="1"/>
    <xf numFmtId="0" fontId="83" fillId="4" borderId="2" xfId="0" applyFont="1" applyFill="1" applyBorder="1"/>
    <xf numFmtId="0" fontId="83" fillId="4" borderId="14" xfId="0" applyFont="1" applyFill="1" applyBorder="1"/>
    <xf numFmtId="0" fontId="83" fillId="4" borderId="22" xfId="0" applyFont="1" applyFill="1" applyBorder="1"/>
    <xf numFmtId="3" fontId="83" fillId="4" borderId="2" xfId="0" applyNumberFormat="1" applyFont="1" applyFill="1" applyBorder="1"/>
    <xf numFmtId="0" fontId="83" fillId="4" borderId="13" xfId="0" applyFont="1" applyFill="1" applyBorder="1"/>
    <xf numFmtId="3" fontId="83" fillId="4" borderId="19" xfId="0" applyNumberFormat="1" applyFont="1" applyFill="1" applyBorder="1"/>
    <xf numFmtId="0" fontId="64" fillId="4" borderId="22" xfId="0" applyFont="1" applyFill="1" applyBorder="1" applyAlignment="1">
      <alignment wrapText="1"/>
    </xf>
    <xf numFmtId="0" fontId="64" fillId="4" borderId="40" xfId="0" applyFont="1" applyFill="1" applyBorder="1" applyAlignment="1">
      <alignment wrapText="1"/>
    </xf>
    <xf numFmtId="0" fontId="64" fillId="4" borderId="38" xfId="0" applyFont="1" applyFill="1" applyBorder="1" applyAlignment="1">
      <alignment wrapText="1"/>
    </xf>
    <xf numFmtId="0" fontId="64" fillId="4" borderId="56" xfId="0" applyFont="1" applyFill="1" applyBorder="1" applyAlignment="1">
      <alignment wrapText="1"/>
    </xf>
    <xf numFmtId="3" fontId="83" fillId="4" borderId="22" xfId="0" applyNumberFormat="1" applyFont="1" applyFill="1" applyBorder="1"/>
    <xf numFmtId="3" fontId="83" fillId="4" borderId="14" xfId="0" applyNumberFormat="1" applyFont="1" applyFill="1" applyBorder="1"/>
    <xf numFmtId="3" fontId="83" fillId="4" borderId="56" xfId="0" applyNumberFormat="1" applyFont="1" applyFill="1" applyBorder="1"/>
    <xf numFmtId="0" fontId="64" fillId="16" borderId="56" xfId="0" applyFont="1" applyFill="1" applyBorder="1" applyAlignment="1">
      <alignment wrapText="1"/>
    </xf>
    <xf numFmtId="3" fontId="83" fillId="4" borderId="75" xfId="0" applyNumberFormat="1" applyFont="1" applyFill="1" applyBorder="1"/>
    <xf numFmtId="3" fontId="83" fillId="4" borderId="38" xfId="0" applyNumberFormat="1" applyFont="1" applyFill="1" applyBorder="1"/>
    <xf numFmtId="0" fontId="64" fillId="16" borderId="38" xfId="0" applyFont="1" applyFill="1" applyBorder="1" applyAlignment="1">
      <alignment wrapText="1"/>
    </xf>
    <xf numFmtId="3" fontId="83" fillId="4" borderId="31" xfId="0" applyNumberFormat="1" applyFont="1" applyFill="1" applyBorder="1"/>
    <xf numFmtId="0" fontId="64" fillId="4" borderId="20" xfId="0" applyFont="1" applyFill="1" applyBorder="1" applyAlignment="1">
      <alignment wrapText="1"/>
    </xf>
    <xf numFmtId="3" fontId="83" fillId="16" borderId="39" xfId="0" applyNumberFormat="1" applyFont="1" applyFill="1" applyBorder="1" applyAlignment="1" applyProtection="1">
      <alignment vertical="top"/>
      <protection locked="0"/>
    </xf>
    <xf numFmtId="3" fontId="83" fillId="16" borderId="2" xfId="0" applyNumberFormat="1" applyFont="1" applyFill="1" applyBorder="1" applyAlignment="1" applyProtection="1">
      <alignment vertical="top"/>
      <protection locked="0"/>
    </xf>
    <xf numFmtId="3" fontId="83" fillId="16" borderId="14" xfId="0" applyNumberFormat="1" applyFont="1" applyFill="1" applyBorder="1" applyAlignment="1" applyProtection="1">
      <alignment vertical="top"/>
      <protection locked="0"/>
    </xf>
    <xf numFmtId="3" fontId="83" fillId="16" borderId="22" xfId="0" applyNumberFormat="1" applyFont="1" applyFill="1" applyBorder="1" applyAlignment="1" applyProtection="1">
      <alignment vertical="top"/>
      <protection locked="0"/>
    </xf>
    <xf numFmtId="3" fontId="83" fillId="16" borderId="13" xfId="0" applyNumberFormat="1" applyFont="1" applyFill="1" applyBorder="1" applyAlignment="1" applyProtection="1">
      <alignment vertical="top"/>
      <protection locked="0"/>
    </xf>
    <xf numFmtId="3" fontId="83" fillId="16" borderId="75" xfId="0" applyNumberFormat="1" applyFont="1" applyFill="1" applyBorder="1" applyAlignment="1" applyProtection="1">
      <alignment vertical="top"/>
      <protection locked="0"/>
    </xf>
    <xf numFmtId="3" fontId="83" fillId="16" borderId="38" xfId="0" applyNumberFormat="1" applyFont="1" applyFill="1" applyBorder="1" applyAlignment="1" applyProtection="1">
      <alignment vertical="top"/>
      <protection locked="0"/>
    </xf>
    <xf numFmtId="0" fontId="82" fillId="11" borderId="20" xfId="0" applyFont="1" applyFill="1" applyBorder="1" applyAlignment="1" applyProtection="1">
      <alignment vertical="top" wrapText="1"/>
      <protection locked="0"/>
    </xf>
    <xf numFmtId="0" fontId="82" fillId="11" borderId="40" xfId="0" applyFont="1" applyFill="1" applyBorder="1" applyAlignment="1" applyProtection="1">
      <alignment vertical="top" wrapText="1"/>
      <protection locked="0"/>
    </xf>
    <xf numFmtId="0" fontId="82" fillId="11" borderId="36" xfId="0" applyFont="1" applyFill="1" applyBorder="1" applyAlignment="1" applyProtection="1">
      <alignment vertical="top" wrapText="1"/>
      <protection locked="0"/>
    </xf>
    <xf numFmtId="0" fontId="19" fillId="0" borderId="0" xfId="0" applyFont="1" applyProtection="1">
      <protection locked="0"/>
    </xf>
    <xf numFmtId="3" fontId="83" fillId="11" borderId="2" xfId="0" applyNumberFormat="1" applyFont="1" applyFill="1" applyBorder="1" applyAlignment="1" applyProtection="1">
      <alignment vertical="top"/>
      <protection locked="0"/>
    </xf>
    <xf numFmtId="0" fontId="4" fillId="11" borderId="12" xfId="0" applyFont="1" applyFill="1" applyBorder="1" applyAlignment="1" applyProtection="1">
      <alignment vertical="top"/>
      <protection locked="0"/>
    </xf>
    <xf numFmtId="0" fontId="64" fillId="7" borderId="3" xfId="0" applyFont="1" applyFill="1" applyBorder="1" applyAlignment="1">
      <alignment wrapText="1"/>
    </xf>
    <xf numFmtId="0" fontId="64" fillId="18" borderId="19" xfId="0" applyFont="1" applyFill="1" applyBorder="1" applyAlignment="1">
      <alignment wrapText="1"/>
    </xf>
    <xf numFmtId="3" fontId="83" fillId="11" borderId="14" xfId="0" applyNumberFormat="1" applyFont="1" applyFill="1" applyBorder="1" applyAlignment="1" applyProtection="1">
      <alignment vertical="top"/>
      <protection locked="0"/>
    </xf>
    <xf numFmtId="0" fontId="82" fillId="11" borderId="47" xfId="0" applyFont="1" applyFill="1" applyBorder="1" applyAlignment="1" applyProtection="1">
      <alignment vertical="top" wrapText="1"/>
      <protection locked="0"/>
    </xf>
    <xf numFmtId="0" fontId="64" fillId="11" borderId="1" xfId="3" applyFont="1" applyFill="1" applyBorder="1" applyAlignment="1" applyProtection="1">
      <alignment horizontal="left" vertical="top" wrapText="1"/>
      <protection locked="0"/>
    </xf>
    <xf numFmtId="0" fontId="82" fillId="11" borderId="1" xfId="3" applyFont="1" applyFill="1" applyBorder="1" applyAlignment="1" applyProtection="1">
      <alignment horizontal="left" vertical="top" wrapText="1"/>
      <protection locked="0"/>
    </xf>
    <xf numFmtId="0" fontId="82" fillId="11" borderId="75" xfId="0" applyFont="1" applyFill="1" applyBorder="1" applyAlignment="1" applyProtection="1">
      <alignment horizontal="left" vertical="top" wrapText="1"/>
      <protection locked="0"/>
    </xf>
    <xf numFmtId="0" fontId="82" fillId="11" borderId="3" xfId="0" applyFont="1" applyFill="1" applyBorder="1" applyAlignment="1" applyProtection="1">
      <alignment horizontal="left" vertical="top" wrapText="1"/>
      <protection locked="0"/>
    </xf>
    <xf numFmtId="0" fontId="82" fillId="11" borderId="21" xfId="0" applyFont="1" applyFill="1" applyBorder="1" applyAlignment="1" applyProtection="1">
      <alignment horizontal="left" vertical="top" wrapText="1"/>
      <protection locked="0"/>
    </xf>
    <xf numFmtId="3" fontId="83" fillId="11" borderId="50" xfId="0" applyNumberFormat="1" applyFont="1" applyFill="1" applyBorder="1" applyAlignment="1" applyProtection="1">
      <alignment vertical="top"/>
      <protection locked="0"/>
    </xf>
    <xf numFmtId="3" fontId="83" fillId="11" borderId="45" xfId="0" applyNumberFormat="1" applyFont="1" applyFill="1" applyBorder="1" applyAlignment="1" applyProtection="1">
      <alignment vertical="top"/>
      <protection locked="0"/>
    </xf>
    <xf numFmtId="3" fontId="83" fillId="11" borderId="48" xfId="0" applyNumberFormat="1" applyFont="1" applyFill="1" applyBorder="1" applyAlignment="1" applyProtection="1">
      <alignment vertical="top"/>
      <protection locked="0"/>
    </xf>
    <xf numFmtId="3" fontId="83" fillId="11" borderId="44" xfId="0" applyNumberFormat="1" applyFont="1" applyFill="1" applyBorder="1" applyAlignment="1" applyProtection="1">
      <alignment vertical="top"/>
      <protection locked="0"/>
    </xf>
    <xf numFmtId="3" fontId="84" fillId="11" borderId="50" xfId="0" applyNumberFormat="1" applyFont="1" applyFill="1" applyBorder="1" applyAlignment="1" applyProtection="1">
      <alignment horizontal="right" vertical="top"/>
      <protection locked="0"/>
    </xf>
    <xf numFmtId="3" fontId="84" fillId="11" borderId="45" xfId="0" applyNumberFormat="1" applyFont="1" applyFill="1" applyBorder="1" applyAlignment="1" applyProtection="1">
      <alignment horizontal="right" vertical="top"/>
      <protection locked="0"/>
    </xf>
    <xf numFmtId="3" fontId="84" fillId="11" borderId="48" xfId="0" applyNumberFormat="1" applyFont="1" applyFill="1" applyBorder="1" applyAlignment="1" applyProtection="1">
      <alignment horizontal="right" vertical="top"/>
      <protection locked="0"/>
    </xf>
    <xf numFmtId="3" fontId="84" fillId="11" borderId="13" xfId="0" applyNumberFormat="1" applyFont="1" applyFill="1" applyBorder="1" applyAlignment="1" applyProtection="1">
      <alignment horizontal="right" vertical="top"/>
      <protection locked="0"/>
    </xf>
    <xf numFmtId="3" fontId="84" fillId="11" borderId="3" xfId="0" applyNumberFormat="1" applyFont="1" applyFill="1" applyBorder="1" applyAlignment="1" applyProtection="1">
      <alignment horizontal="right" vertical="top"/>
      <protection locked="0"/>
    </xf>
    <xf numFmtId="3" fontId="84" fillId="11" borderId="12" xfId="0" applyNumberFormat="1" applyFont="1" applyFill="1" applyBorder="1" applyAlignment="1" applyProtection="1">
      <alignment horizontal="right" vertical="top"/>
      <protection locked="0"/>
    </xf>
    <xf numFmtId="0" fontId="82" fillId="11" borderId="44" xfId="0" applyFont="1" applyFill="1" applyBorder="1" applyAlignment="1" applyProtection="1">
      <alignment vertical="top" wrapText="1"/>
      <protection locked="0"/>
    </xf>
    <xf numFmtId="0" fontId="15" fillId="11" borderId="119" xfId="0" applyFont="1" applyFill="1" applyBorder="1" applyAlignment="1" applyProtection="1">
      <alignment horizontal="left" vertical="top" wrapText="1"/>
      <protection locked="0"/>
    </xf>
    <xf numFmtId="0" fontId="15" fillId="0" borderId="77" xfId="0" applyFont="1" applyBorder="1" applyAlignment="1">
      <alignment horizontal="left" vertical="top"/>
    </xf>
    <xf numFmtId="0" fontId="2" fillId="0" borderId="77" xfId="0" applyFont="1" applyBorder="1" applyAlignment="1">
      <alignment horizontal="left" vertical="top"/>
    </xf>
    <xf numFmtId="0" fontId="26" fillId="0" borderId="3" xfId="0" applyFont="1" applyBorder="1" applyAlignment="1">
      <alignment wrapText="1"/>
    </xf>
    <xf numFmtId="0" fontId="26" fillId="0" borderId="46" xfId="0" applyFont="1" applyBorder="1" applyAlignment="1">
      <alignment wrapText="1"/>
    </xf>
    <xf numFmtId="0" fontId="86" fillId="0" borderId="3" xfId="0" applyFont="1" applyBorder="1" applyAlignment="1" applyProtection="1">
      <alignment horizontal="left" vertical="top" wrapText="1"/>
      <protection locked="0"/>
    </xf>
    <xf numFmtId="0" fontId="0" fillId="0" borderId="3" xfId="0" applyBorder="1" applyAlignment="1">
      <alignment vertical="top" wrapText="1"/>
    </xf>
    <xf numFmtId="0" fontId="82" fillId="11" borderId="39" xfId="0" applyFont="1" applyFill="1" applyBorder="1" applyAlignment="1" applyProtection="1">
      <alignment horizontal="left" vertical="top" wrapText="1"/>
      <protection locked="0"/>
    </xf>
    <xf numFmtId="0" fontId="64" fillId="11" borderId="119" xfId="0" applyFont="1" applyFill="1" applyBorder="1" applyAlignment="1" applyProtection="1">
      <alignment horizontal="left" vertical="top" wrapText="1"/>
      <protection locked="0"/>
    </xf>
    <xf numFmtId="0" fontId="82" fillId="11" borderId="119" xfId="0" applyFont="1" applyFill="1" applyBorder="1" applyAlignment="1" applyProtection="1">
      <alignment horizontal="left" vertical="top" wrapText="1"/>
      <protection locked="0"/>
    </xf>
    <xf numFmtId="0" fontId="82" fillId="11" borderId="19" xfId="0" applyFont="1" applyFill="1" applyBorder="1" applyAlignment="1" applyProtection="1">
      <alignment horizontal="left" vertical="top" wrapText="1"/>
      <protection locked="0"/>
    </xf>
    <xf numFmtId="0" fontId="82" fillId="11" borderId="3" xfId="0" applyFont="1" applyFill="1" applyBorder="1" applyAlignment="1" applyProtection="1">
      <alignment vertical="top" wrapText="1"/>
      <protection locked="0"/>
    </xf>
    <xf numFmtId="0" fontId="82" fillId="11" borderId="1" xfId="0" applyFont="1" applyFill="1" applyBorder="1" applyAlignment="1" applyProtection="1">
      <alignment horizontal="left" vertical="top" wrapText="1"/>
      <protection locked="0"/>
    </xf>
    <xf numFmtId="3" fontId="83" fillId="11" borderId="26" xfId="0" applyNumberFormat="1" applyFont="1" applyFill="1" applyBorder="1" applyAlignment="1" applyProtection="1">
      <alignment vertical="top"/>
      <protection locked="0"/>
    </xf>
    <xf numFmtId="3" fontId="83" fillId="11" borderId="11" xfId="0" applyNumberFormat="1" applyFont="1" applyFill="1" applyBorder="1" applyAlignment="1" applyProtection="1">
      <alignment vertical="top"/>
      <protection locked="0"/>
    </xf>
    <xf numFmtId="3" fontId="83" fillId="11" borderId="12" xfId="0" applyNumberFormat="1" applyFont="1" applyFill="1" applyBorder="1" applyAlignment="1" applyProtection="1">
      <alignment vertical="top"/>
      <protection locked="0"/>
    </xf>
    <xf numFmtId="3" fontId="83" fillId="11" borderId="20" xfId="0" applyNumberFormat="1" applyFont="1" applyFill="1" applyBorder="1" applyAlignment="1" applyProtection="1">
      <alignment vertical="top"/>
      <protection locked="0"/>
    </xf>
    <xf numFmtId="3" fontId="84" fillId="11" borderId="11" xfId="0" applyNumberFormat="1" applyFont="1" applyFill="1" applyBorder="1" applyAlignment="1" applyProtection="1">
      <alignment horizontal="right" vertical="top"/>
      <protection locked="0"/>
    </xf>
    <xf numFmtId="0" fontId="85" fillId="11" borderId="36" xfId="0" applyFont="1" applyFill="1" applyBorder="1" applyAlignment="1" applyProtection="1">
      <alignment vertical="top" wrapText="1"/>
      <protection locked="0"/>
    </xf>
    <xf numFmtId="3" fontId="87" fillId="12" borderId="14" xfId="0" applyNumberFormat="1" applyFont="1" applyFill="1" applyBorder="1" applyAlignment="1">
      <alignment vertical="top"/>
    </xf>
    <xf numFmtId="3" fontId="83" fillId="12" borderId="31" xfId="0" applyNumberFormat="1" applyFont="1" applyFill="1" applyBorder="1" applyAlignment="1">
      <alignment vertical="top"/>
    </xf>
    <xf numFmtId="3" fontId="83" fillId="12" borderId="1" xfId="0" applyNumberFormat="1" applyFont="1" applyFill="1" applyBorder="1" applyAlignment="1">
      <alignment vertical="top"/>
    </xf>
    <xf numFmtId="3" fontId="83" fillId="12" borderId="3" xfId="0" applyNumberFormat="1" applyFont="1" applyFill="1" applyBorder="1" applyAlignment="1">
      <alignment vertical="top"/>
    </xf>
    <xf numFmtId="3" fontId="83" fillId="12" borderId="38" xfId="0" applyNumberFormat="1" applyFont="1" applyFill="1" applyBorder="1" applyAlignment="1">
      <alignment vertical="top"/>
    </xf>
    <xf numFmtId="0" fontId="82" fillId="4" borderId="109" xfId="0" applyFont="1" applyFill="1" applyBorder="1" applyAlignment="1" applyProtection="1">
      <alignment horizontal="left" vertical="top" wrapText="1"/>
      <protection locked="0"/>
    </xf>
    <xf numFmtId="0" fontId="82" fillId="4" borderId="1" xfId="0" applyFont="1" applyFill="1" applyBorder="1" applyAlignment="1" applyProtection="1">
      <alignment horizontal="left" vertical="top" wrapText="1"/>
      <protection locked="0"/>
    </xf>
    <xf numFmtId="0" fontId="82" fillId="4" borderId="3" xfId="0" applyFont="1" applyFill="1" applyBorder="1" applyAlignment="1" applyProtection="1">
      <alignment vertical="top" wrapText="1"/>
      <protection locked="0"/>
    </xf>
    <xf numFmtId="0" fontId="82" fillId="4" borderId="19" xfId="0" applyFont="1" applyFill="1" applyBorder="1" applyAlignment="1" applyProtection="1">
      <alignment horizontal="left" vertical="top" wrapText="1"/>
      <protection locked="0"/>
    </xf>
    <xf numFmtId="0" fontId="82" fillId="4" borderId="3" xfId="0" applyFont="1" applyFill="1" applyBorder="1" applyAlignment="1" applyProtection="1">
      <alignment horizontal="left" vertical="top" wrapText="1"/>
      <protection locked="0"/>
    </xf>
    <xf numFmtId="0" fontId="82" fillId="4" borderId="120" xfId="0" applyFont="1" applyFill="1" applyBorder="1" applyAlignment="1" applyProtection="1">
      <alignment horizontal="left" vertical="top" wrapText="1"/>
      <protection locked="0"/>
    </xf>
    <xf numFmtId="0" fontId="91" fillId="0" borderId="0" xfId="0" applyFont="1" applyAlignment="1">
      <alignment horizontal="left" vertical="top" wrapText="1"/>
    </xf>
    <xf numFmtId="0" fontId="94" fillId="11" borderId="119" xfId="0" applyFont="1" applyFill="1" applyBorder="1"/>
    <xf numFmtId="0" fontId="19" fillId="11" borderId="50" xfId="0" applyFont="1" applyFill="1" applyBorder="1" applyAlignment="1" applyProtection="1">
      <alignment vertical="top" wrapText="1"/>
      <protection locked="0"/>
    </xf>
    <xf numFmtId="0" fontId="19" fillId="11" borderId="56" xfId="0" applyFont="1" applyFill="1" applyBorder="1" applyAlignment="1" applyProtection="1">
      <alignment vertical="top" wrapText="1"/>
      <protection locked="0"/>
    </xf>
    <xf numFmtId="0" fontId="2" fillId="0" borderId="74" xfId="0" applyFont="1" applyBorder="1" applyAlignment="1">
      <alignment vertical="top"/>
    </xf>
    <xf numFmtId="0" fontId="94" fillId="11" borderId="106" xfId="0" applyFont="1" applyFill="1" applyBorder="1"/>
    <xf numFmtId="0" fontId="19" fillId="11" borderId="39" xfId="0" applyFont="1" applyFill="1" applyBorder="1" applyAlignment="1" applyProtection="1">
      <alignment vertical="top" wrapText="1"/>
      <protection locked="0"/>
    </xf>
    <xf numFmtId="0" fontId="95" fillId="11" borderId="119" xfId="0" applyFont="1" applyFill="1" applyBorder="1"/>
    <xf numFmtId="3" fontId="98" fillId="0" borderId="3" xfId="0" applyNumberFormat="1" applyFont="1" applyBorder="1" applyAlignment="1">
      <alignment horizontal="left" vertical="top" wrapText="1"/>
    </xf>
    <xf numFmtId="0" fontId="59" fillId="0" borderId="46" xfId="0" applyFont="1" applyBorder="1" applyAlignment="1">
      <alignment horizontal="left" vertical="top" wrapText="1"/>
    </xf>
    <xf numFmtId="0" fontId="61" fillId="0" borderId="1" xfId="2" applyFont="1" applyBorder="1" applyAlignment="1">
      <alignment horizontal="left" vertical="top" wrapText="1"/>
    </xf>
    <xf numFmtId="0" fontId="91" fillId="0" borderId="3" xfId="0" applyFont="1" applyBorder="1" applyAlignment="1">
      <alignment vertical="top" wrapText="1"/>
    </xf>
    <xf numFmtId="0" fontId="102" fillId="11" borderId="47" xfId="0" applyFont="1" applyFill="1" applyBorder="1" applyAlignment="1" applyProtection="1">
      <alignment vertical="top" wrapText="1"/>
      <protection locked="0"/>
    </xf>
    <xf numFmtId="0" fontId="102" fillId="11" borderId="1" xfId="0" applyFont="1" applyFill="1" applyBorder="1" applyAlignment="1" applyProtection="1">
      <alignment horizontal="left" vertical="top" wrapText="1"/>
      <protection locked="0"/>
    </xf>
    <xf numFmtId="0" fontId="102" fillId="11" borderId="21" xfId="0" applyFont="1" applyFill="1" applyBorder="1" applyAlignment="1" applyProtection="1">
      <alignment horizontal="left" vertical="top" wrapText="1"/>
      <protection locked="0"/>
    </xf>
    <xf numFmtId="0" fontId="103" fillId="4" borderId="38" xfId="0" applyFont="1" applyFill="1" applyBorder="1" applyAlignment="1">
      <alignment wrapText="1"/>
    </xf>
    <xf numFmtId="0" fontId="103" fillId="4" borderId="75" xfId="0" applyFont="1" applyFill="1" applyBorder="1" applyAlignment="1">
      <alignment wrapText="1"/>
    </xf>
    <xf numFmtId="0" fontId="104" fillId="0" borderId="3" xfId="0" applyFont="1" applyBorder="1" applyAlignment="1">
      <alignment horizontal="left" vertical="top" wrapText="1"/>
    </xf>
    <xf numFmtId="0" fontId="104" fillId="0" borderId="21" xfId="0" applyFont="1" applyBorder="1" applyAlignment="1">
      <alignment horizontal="left" vertical="top" wrapText="1"/>
    </xf>
    <xf numFmtId="0" fontId="105" fillId="0" borderId="3" xfId="0" applyFont="1" applyBorder="1" applyAlignment="1">
      <alignment horizontal="left" vertical="top" wrapText="1"/>
    </xf>
    <xf numFmtId="0" fontId="106" fillId="0" borderId="3" xfId="2" applyFont="1" applyBorder="1" applyAlignment="1">
      <alignment horizontal="left" vertical="top" wrapText="1"/>
    </xf>
    <xf numFmtId="0" fontId="107" fillId="0" borderId="3" xfId="2" applyFont="1" applyBorder="1" applyAlignment="1">
      <alignment horizontal="left" vertical="top" wrapText="1"/>
    </xf>
    <xf numFmtId="3" fontId="108" fillId="0" borderId="3" xfId="0" applyNumberFormat="1" applyFont="1" applyBorder="1" applyAlignment="1">
      <alignment horizontal="left" vertical="top" wrapText="1"/>
    </xf>
    <xf numFmtId="3" fontId="109" fillId="0" borderId="3" xfId="0" applyNumberFormat="1" applyFont="1" applyBorder="1" applyAlignment="1">
      <alignment horizontal="left" vertical="top" wrapText="1"/>
    </xf>
    <xf numFmtId="0" fontId="4" fillId="11" borderId="44" xfId="0" applyFont="1" applyFill="1" applyBorder="1" applyAlignment="1" applyProtection="1">
      <alignment vertical="top" wrapText="1"/>
      <protection locked="0"/>
    </xf>
    <xf numFmtId="0" fontId="85" fillId="0" borderId="46" xfId="0" applyFont="1" applyBorder="1" applyAlignment="1">
      <alignment wrapText="1"/>
    </xf>
    <xf numFmtId="0" fontId="24" fillId="18" borderId="3" xfId="0" applyFont="1" applyFill="1" applyBorder="1" applyAlignment="1">
      <alignment wrapText="1"/>
    </xf>
    <xf numFmtId="0" fontId="64" fillId="18" borderId="1" xfId="0" applyFont="1" applyFill="1" applyBorder="1" applyAlignment="1" applyProtection="1">
      <alignment horizontal="left" vertical="top" wrapText="1"/>
      <protection locked="0"/>
    </xf>
    <xf numFmtId="0" fontId="64" fillId="18" borderId="75" xfId="0" applyFont="1" applyFill="1" applyBorder="1" applyAlignment="1" applyProtection="1">
      <alignment horizontal="left" vertical="top" wrapText="1"/>
      <protection locked="0"/>
    </xf>
    <xf numFmtId="0" fontId="64" fillId="18" borderId="75" xfId="0" applyFont="1" applyFill="1" applyBorder="1" applyAlignment="1" applyProtection="1">
      <alignment horizontal="center" vertical="top" wrapText="1"/>
      <protection locked="0"/>
    </xf>
    <xf numFmtId="3" fontId="16" fillId="18" borderId="14" xfId="0" applyNumberFormat="1" applyFont="1" applyFill="1" applyBorder="1" applyAlignment="1">
      <alignment vertical="top"/>
    </xf>
    <xf numFmtId="3" fontId="20" fillId="18" borderId="31" xfId="0" applyNumberFormat="1" applyFont="1" applyFill="1" applyBorder="1" applyAlignment="1">
      <alignment vertical="top"/>
    </xf>
    <xf numFmtId="3" fontId="20" fillId="18" borderId="1" xfId="0" applyNumberFormat="1" applyFont="1" applyFill="1" applyBorder="1" applyAlignment="1">
      <alignment vertical="top"/>
    </xf>
    <xf numFmtId="3" fontId="20" fillId="18" borderId="3" xfId="0" applyNumberFormat="1" applyFont="1" applyFill="1" applyBorder="1" applyAlignment="1">
      <alignment vertical="top"/>
    </xf>
    <xf numFmtId="3" fontId="20" fillId="18" borderId="38" xfId="0" applyNumberFormat="1" applyFont="1" applyFill="1" applyBorder="1" applyAlignment="1">
      <alignment vertical="top"/>
    </xf>
    <xf numFmtId="3" fontId="83" fillId="18" borderId="39" xfId="0" applyNumberFormat="1" applyFont="1" applyFill="1" applyBorder="1" applyAlignment="1" applyProtection="1">
      <alignment vertical="top"/>
      <protection locked="0"/>
    </xf>
    <xf numFmtId="3" fontId="83" fillId="18" borderId="2" xfId="0" applyNumberFormat="1" applyFont="1" applyFill="1" applyBorder="1" applyAlignment="1" applyProtection="1">
      <alignment vertical="top"/>
      <protection locked="0"/>
    </xf>
    <xf numFmtId="3" fontId="83" fillId="18" borderId="14" xfId="0" applyNumberFormat="1" applyFont="1" applyFill="1" applyBorder="1" applyAlignment="1" applyProtection="1">
      <alignment vertical="top"/>
      <protection locked="0"/>
    </xf>
    <xf numFmtId="3" fontId="83" fillId="18" borderId="22" xfId="0" applyNumberFormat="1" applyFont="1" applyFill="1" applyBorder="1" applyAlignment="1" applyProtection="1">
      <alignment vertical="top"/>
      <protection locked="0"/>
    </xf>
    <xf numFmtId="0" fontId="82" fillId="18" borderId="20" xfId="0" applyFont="1" applyFill="1" applyBorder="1" applyAlignment="1" applyProtection="1">
      <alignment vertical="top" wrapText="1"/>
      <protection locked="0"/>
    </xf>
    <xf numFmtId="0" fontId="82" fillId="18" borderId="40" xfId="0" applyFont="1" applyFill="1" applyBorder="1" applyAlignment="1" applyProtection="1">
      <alignment vertical="top" wrapText="1"/>
      <protection locked="0"/>
    </xf>
    <xf numFmtId="0" fontId="82" fillId="18" borderId="36" xfId="0" applyFont="1" applyFill="1" applyBorder="1" applyAlignment="1" applyProtection="1">
      <alignment vertical="top" wrapText="1"/>
      <protection locked="0"/>
    </xf>
    <xf numFmtId="3" fontId="64" fillId="18" borderId="75" xfId="0" applyNumberFormat="1" applyFont="1" applyFill="1" applyBorder="1" applyAlignment="1" applyProtection="1">
      <alignment horizontal="left" vertical="top" wrapText="1"/>
      <protection locked="0"/>
    </xf>
    <xf numFmtId="0" fontId="61" fillId="18" borderId="3" xfId="2" applyFont="1" applyFill="1" applyBorder="1" applyAlignment="1">
      <alignment horizontal="left" vertical="top" wrapText="1"/>
    </xf>
    <xf numFmtId="0" fontId="104" fillId="18" borderId="3" xfId="0" applyFont="1" applyFill="1" applyBorder="1" applyAlignment="1">
      <alignment horizontal="left" vertical="top" wrapText="1"/>
    </xf>
    <xf numFmtId="0" fontId="105" fillId="18" borderId="3" xfId="0" applyFont="1" applyFill="1" applyBorder="1" applyAlignment="1">
      <alignment horizontal="left" vertical="top" wrapText="1"/>
    </xf>
    <xf numFmtId="0" fontId="105" fillId="18" borderId="21" xfId="0" applyFont="1" applyFill="1" applyBorder="1" applyAlignment="1">
      <alignment horizontal="left" vertical="top" wrapText="1"/>
    </xf>
    <xf numFmtId="0" fontId="110" fillId="18" borderId="3" xfId="2" applyFont="1" applyFill="1" applyBorder="1" applyAlignment="1">
      <alignment horizontal="left" vertical="top" wrapText="1"/>
    </xf>
    <xf numFmtId="0" fontId="106" fillId="18" borderId="21" xfId="2" applyFont="1" applyFill="1" applyBorder="1" applyAlignment="1">
      <alignment horizontal="left" vertical="top" wrapText="1"/>
    </xf>
    <xf numFmtId="17" fontId="105" fillId="18" borderId="3" xfId="0" applyNumberFormat="1" applyFont="1" applyFill="1" applyBorder="1" applyAlignment="1">
      <alignment horizontal="left" vertical="top" wrapText="1"/>
    </xf>
    <xf numFmtId="3" fontId="108" fillId="18" borderId="3" xfId="0" applyNumberFormat="1" applyFont="1" applyFill="1" applyBorder="1" applyAlignment="1">
      <alignment horizontal="left" vertical="top" wrapText="1"/>
    </xf>
    <xf numFmtId="0" fontId="61" fillId="18" borderId="21" xfId="2" applyFont="1" applyFill="1" applyBorder="1" applyAlignment="1">
      <alignment horizontal="left" vertical="top" wrapText="1"/>
    </xf>
    <xf numFmtId="0" fontId="59" fillId="18" borderId="3" xfId="0" applyFont="1" applyFill="1" applyBorder="1" applyAlignment="1">
      <alignment horizontal="left" vertical="top" wrapText="1"/>
    </xf>
    <xf numFmtId="3" fontId="69" fillId="18" borderId="3" xfId="0" applyNumberFormat="1" applyFont="1" applyFill="1" applyBorder="1" applyAlignment="1">
      <alignment horizontal="left" vertical="top" wrapText="1"/>
    </xf>
    <xf numFmtId="3" fontId="62" fillId="18" borderId="3" xfId="0" applyNumberFormat="1" applyFont="1" applyFill="1" applyBorder="1" applyAlignment="1">
      <alignment horizontal="left" vertical="top" wrapText="1"/>
    </xf>
    <xf numFmtId="0" fontId="59" fillId="18" borderId="21" xfId="0" applyFont="1" applyFill="1" applyBorder="1" applyAlignment="1">
      <alignment horizontal="left" vertical="top" wrapText="1"/>
    </xf>
    <xf numFmtId="0" fontId="58" fillId="18" borderId="21" xfId="0" applyFont="1" applyFill="1" applyBorder="1" applyAlignment="1">
      <alignment horizontal="left" vertical="top" wrapText="1"/>
    </xf>
    <xf numFmtId="0" fontId="58" fillId="18" borderId="3" xfId="0" applyFont="1" applyFill="1" applyBorder="1" applyAlignment="1">
      <alignment horizontal="left" vertical="top" wrapText="1"/>
    </xf>
    <xf numFmtId="0" fontId="104" fillId="18" borderId="119" xfId="0" applyFont="1" applyFill="1" applyBorder="1" applyAlignment="1">
      <alignment horizontal="left" vertical="top" wrapText="1"/>
    </xf>
    <xf numFmtId="0" fontId="58" fillId="18" borderId="119" xfId="0" applyFont="1" applyFill="1" applyBorder="1" applyAlignment="1">
      <alignment horizontal="left" vertical="top" wrapText="1"/>
    </xf>
    <xf numFmtId="0" fontId="104" fillId="18" borderId="45" xfId="0" applyFont="1" applyFill="1" applyBorder="1" applyAlignment="1">
      <alignment horizontal="left" vertical="top" wrapText="1"/>
    </xf>
    <xf numFmtId="0" fontId="104" fillId="18" borderId="80" xfId="0" applyFont="1" applyFill="1" applyBorder="1" applyAlignment="1">
      <alignment horizontal="left" vertical="top" wrapText="1"/>
    </xf>
    <xf numFmtId="0" fontId="58" fillId="0" borderId="80" xfId="0" applyFont="1" applyBorder="1" applyAlignment="1">
      <alignment horizontal="left" vertical="top" wrapText="1"/>
    </xf>
    <xf numFmtId="0" fontId="113" fillId="0" borderId="0" xfId="0" applyFont="1" applyAlignment="1">
      <alignment horizontal="left" vertical="top"/>
    </xf>
    <xf numFmtId="0" fontId="56" fillId="14" borderId="3" xfId="0" applyFont="1" applyFill="1" applyBorder="1" applyAlignment="1">
      <alignment horizontal="center" vertical="top" wrapText="1"/>
    </xf>
    <xf numFmtId="0" fontId="56" fillId="15" borderId="3" xfId="0" applyFont="1" applyFill="1" applyBorder="1" applyAlignment="1">
      <alignment horizontal="center" vertical="top" wrapText="1"/>
    </xf>
    <xf numFmtId="0" fontId="92" fillId="15" borderId="3" xfId="0" applyFont="1" applyFill="1" applyBorder="1" applyAlignment="1">
      <alignment horizontal="center" vertical="top" wrapText="1"/>
    </xf>
    <xf numFmtId="0" fontId="57" fillId="0" borderId="0" xfId="0" applyFont="1" applyAlignment="1">
      <alignment horizontal="center" vertical="top" wrapText="1"/>
    </xf>
    <xf numFmtId="0" fontId="58" fillId="0" borderId="11" xfId="0" applyFont="1" applyBorder="1" applyAlignment="1">
      <alignment vertical="top" wrapText="1"/>
    </xf>
    <xf numFmtId="0" fontId="60" fillId="18" borderId="0" xfId="2" applyFill="1" applyAlignment="1">
      <alignment vertical="top"/>
    </xf>
    <xf numFmtId="0" fontId="112" fillId="18" borderId="119" xfId="0" applyFont="1" applyFill="1" applyBorder="1" applyAlignment="1">
      <alignment vertical="top"/>
    </xf>
    <xf numFmtId="0" fontId="58" fillId="0" borderId="19" xfId="0" applyFont="1" applyBorder="1" applyAlignment="1">
      <alignment vertical="top" wrapText="1"/>
    </xf>
    <xf numFmtId="0" fontId="60" fillId="0" borderId="19" xfId="2" applyBorder="1" applyAlignment="1">
      <alignment vertical="top" wrapText="1"/>
    </xf>
    <xf numFmtId="0" fontId="68" fillId="0" borderId="19" xfId="0" applyFont="1" applyBorder="1" applyAlignment="1">
      <alignment vertical="top" wrapText="1"/>
    </xf>
    <xf numFmtId="0" fontId="69" fillId="0" borderId="19" xfId="0" applyFont="1" applyBorder="1" applyAlignment="1">
      <alignment vertical="top" wrapText="1"/>
    </xf>
    <xf numFmtId="0" fontId="73" fillId="0" borderId="3" xfId="0" applyFont="1" applyBorder="1" applyAlignment="1">
      <alignment vertical="top" wrapText="1"/>
    </xf>
    <xf numFmtId="0" fontId="78" fillId="0" borderId="19" xfId="0" applyFont="1" applyBorder="1" applyAlignment="1">
      <alignment vertical="top" wrapText="1"/>
    </xf>
    <xf numFmtId="0" fontId="78" fillId="0" borderId="75" xfId="0" applyFont="1" applyBorder="1" applyAlignment="1">
      <alignment vertical="top" wrapText="1"/>
    </xf>
    <xf numFmtId="0" fontId="73" fillId="0" borderId="19" xfId="0" applyFont="1" applyBorder="1" applyAlignment="1">
      <alignment vertical="top" wrapText="1"/>
    </xf>
    <xf numFmtId="0" fontId="60" fillId="7" borderId="19" xfId="2" applyFill="1" applyBorder="1" applyAlignment="1">
      <alignment vertical="top" wrapText="1"/>
    </xf>
    <xf numFmtId="0" fontId="73" fillId="7" borderId="19" xfId="0" applyFont="1" applyFill="1" applyBorder="1" applyAlignment="1">
      <alignment vertical="top" wrapText="1"/>
    </xf>
    <xf numFmtId="0" fontId="74" fillId="7" borderId="19" xfId="0" applyFont="1" applyFill="1" applyBorder="1" applyAlignment="1">
      <alignment vertical="top" wrapText="1"/>
    </xf>
    <xf numFmtId="14" fontId="75" fillId="7" borderId="19" xfId="0" applyNumberFormat="1" applyFont="1" applyFill="1" applyBorder="1" applyAlignment="1">
      <alignment vertical="top" wrapText="1"/>
    </xf>
    <xf numFmtId="0" fontId="75" fillId="7" borderId="19" xfId="0" applyFont="1" applyFill="1" applyBorder="1" applyAlignment="1">
      <alignment vertical="top" wrapText="1"/>
    </xf>
    <xf numFmtId="0" fontId="76" fillId="0" borderId="19" xfId="0" applyFont="1" applyBorder="1" applyAlignment="1">
      <alignment vertical="top" wrapText="1"/>
    </xf>
    <xf numFmtId="3" fontId="77" fillId="0" borderId="19" xfId="0" applyNumberFormat="1" applyFont="1" applyBorder="1" applyAlignment="1">
      <alignment vertical="top" wrapText="1"/>
    </xf>
    <xf numFmtId="3" fontId="76" fillId="0" borderId="19" xfId="0" applyNumberFormat="1" applyFont="1" applyBorder="1" applyAlignment="1">
      <alignment vertical="top" wrapText="1"/>
    </xf>
    <xf numFmtId="0" fontId="78" fillId="0" borderId="1" xfId="0" applyFont="1" applyBorder="1" applyAlignment="1">
      <alignment vertical="top" wrapText="1"/>
    </xf>
    <xf numFmtId="0" fontId="60" fillId="7" borderId="75" xfId="2" applyFill="1" applyBorder="1" applyAlignment="1">
      <alignment vertical="top" wrapText="1"/>
    </xf>
    <xf numFmtId="0" fontId="78" fillId="7" borderId="75" xfId="0" applyFont="1" applyFill="1" applyBorder="1" applyAlignment="1">
      <alignment vertical="top" wrapText="1"/>
    </xf>
    <xf numFmtId="0" fontId="74" fillId="7" borderId="82" xfId="0" applyFont="1" applyFill="1" applyBorder="1" applyAlignment="1">
      <alignment vertical="top" wrapText="1"/>
    </xf>
    <xf numFmtId="14" fontId="78" fillId="7" borderId="82" xfId="0" applyNumberFormat="1" applyFont="1" applyFill="1" applyBorder="1" applyAlignment="1">
      <alignment vertical="top" wrapText="1"/>
    </xf>
    <xf numFmtId="3" fontId="90" fillId="0" borderId="75" xfId="0" applyNumberFormat="1" applyFont="1" applyBorder="1" applyAlignment="1">
      <alignment vertical="top" wrapText="1"/>
    </xf>
    <xf numFmtId="0" fontId="74" fillId="7" borderId="75" xfId="0" applyFont="1" applyFill="1" applyBorder="1" applyAlignment="1">
      <alignment vertical="top" wrapText="1"/>
    </xf>
    <xf numFmtId="0" fontId="73" fillId="0" borderId="1" xfId="0" applyFont="1" applyBorder="1" applyAlignment="1">
      <alignment vertical="top" wrapText="1"/>
    </xf>
    <xf numFmtId="0" fontId="73" fillId="0" borderId="82" xfId="0" applyFont="1" applyBorder="1" applyAlignment="1">
      <alignment vertical="top" wrapText="1"/>
    </xf>
    <xf numFmtId="0" fontId="73" fillId="7" borderId="82" xfId="0" applyFont="1" applyFill="1" applyBorder="1" applyAlignment="1">
      <alignment vertical="top" wrapText="1"/>
    </xf>
    <xf numFmtId="14" fontId="58" fillId="0" borderId="82" xfId="0" applyNumberFormat="1" applyFont="1" applyBorder="1" applyAlignment="1">
      <alignment vertical="top" wrapText="1"/>
    </xf>
    <xf numFmtId="0" fontId="73" fillId="0" borderId="75" xfId="0" applyFont="1" applyBorder="1" applyAlignment="1">
      <alignment vertical="top" wrapText="1"/>
    </xf>
    <xf numFmtId="3" fontId="62" fillId="0" borderId="82" xfId="0" applyNumberFormat="1" applyFont="1" applyBorder="1" applyAlignment="1">
      <alignment vertical="top" wrapText="1"/>
    </xf>
    <xf numFmtId="3" fontId="76" fillId="0" borderId="82" xfId="0" applyNumberFormat="1" applyFont="1" applyBorder="1" applyAlignment="1">
      <alignment vertical="top" wrapText="1"/>
    </xf>
    <xf numFmtId="0" fontId="59" fillId="0" borderId="75" xfId="0" applyFont="1" applyBorder="1" applyAlignment="1">
      <alignment vertical="top" wrapText="1"/>
    </xf>
    <xf numFmtId="0" fontId="78" fillId="0" borderId="2" xfId="0" applyFont="1" applyBorder="1" applyAlignment="1">
      <alignment vertical="top" wrapText="1"/>
    </xf>
    <xf numFmtId="0" fontId="78" fillId="0" borderId="119" xfId="0" applyFont="1" applyBorder="1" applyAlignment="1">
      <alignment vertical="top" wrapText="1"/>
    </xf>
    <xf numFmtId="0" fontId="78" fillId="7" borderId="119" xfId="0" applyFont="1" applyFill="1" applyBorder="1" applyAlignment="1">
      <alignment vertical="top" wrapText="1"/>
    </xf>
    <xf numFmtId="0" fontId="91" fillId="0" borderId="119" xfId="0" applyFont="1" applyBorder="1" applyAlignment="1">
      <alignment vertical="top" wrapText="1"/>
    </xf>
    <xf numFmtId="0" fontId="97" fillId="0" borderId="119" xfId="0" applyFont="1" applyBorder="1" applyAlignment="1">
      <alignment vertical="top" wrapText="1"/>
    </xf>
    <xf numFmtId="14" fontId="97" fillId="0" borderId="119" xfId="0" applyNumberFormat="1" applyFont="1" applyBorder="1" applyAlignment="1">
      <alignment vertical="top" wrapText="1"/>
    </xf>
    <xf numFmtId="0" fontId="78" fillId="0" borderId="22" xfId="0" applyFont="1" applyBorder="1" applyAlignment="1">
      <alignment vertical="top" wrapText="1"/>
    </xf>
    <xf numFmtId="3" fontId="98" fillId="0" borderId="119" xfId="0" applyNumberFormat="1" applyFont="1" applyBorder="1" applyAlignment="1">
      <alignment vertical="top" wrapText="1"/>
    </xf>
    <xf numFmtId="3" fontId="90" fillId="0" borderId="119" xfId="0" applyNumberFormat="1" applyFont="1" applyBorder="1" applyAlignment="1">
      <alignment vertical="top" wrapText="1"/>
    </xf>
    <xf numFmtId="0" fontId="59" fillId="0" borderId="0" xfId="0" applyFont="1" applyAlignment="1">
      <alignment vertical="top" wrapText="1"/>
    </xf>
    <xf numFmtId="0" fontId="78" fillId="0" borderId="81" xfId="0" applyFont="1" applyBorder="1" applyAlignment="1">
      <alignment vertical="top" wrapText="1"/>
    </xf>
    <xf numFmtId="0" fontId="78" fillId="0" borderId="106" xfId="0" applyFont="1" applyBorder="1" applyAlignment="1">
      <alignment vertical="top" wrapText="1"/>
    </xf>
    <xf numFmtId="0" fontId="99" fillId="7" borderId="106" xfId="2" applyFont="1" applyFill="1" applyBorder="1" applyAlignment="1">
      <alignment vertical="top" wrapText="1"/>
    </xf>
    <xf numFmtId="0" fontId="78" fillId="7" borderId="106" xfId="0" applyFont="1" applyFill="1" applyBorder="1" applyAlignment="1">
      <alignment vertical="top" wrapText="1"/>
    </xf>
    <xf numFmtId="0" fontId="99" fillId="0" borderId="106" xfId="2" applyFont="1" applyBorder="1" applyAlignment="1">
      <alignment vertical="top" wrapText="1"/>
    </xf>
    <xf numFmtId="0" fontId="97" fillId="0" borderId="106" xfId="0" applyFont="1" applyBorder="1" applyAlignment="1">
      <alignment vertical="top" wrapText="1"/>
    </xf>
    <xf numFmtId="14" fontId="96" fillId="0" borderId="106" xfId="0" applyNumberFormat="1" applyFont="1" applyBorder="1" applyAlignment="1">
      <alignment vertical="top" wrapText="1"/>
    </xf>
    <xf numFmtId="0" fontId="78" fillId="0" borderId="82" xfId="0" applyFont="1" applyBorder="1" applyAlignment="1">
      <alignment vertical="top" wrapText="1"/>
    </xf>
    <xf numFmtId="0" fontId="78" fillId="0" borderId="0" xfId="0" applyFont="1" applyAlignment="1">
      <alignment vertical="top" wrapText="1"/>
    </xf>
    <xf numFmtId="0" fontId="96" fillId="0" borderId="119" xfId="0" applyFont="1" applyBorder="1" applyAlignment="1">
      <alignment vertical="top" wrapText="1"/>
    </xf>
    <xf numFmtId="0" fontId="97" fillId="0" borderId="122" xfId="0" applyFont="1" applyBorder="1" applyAlignment="1">
      <alignment vertical="top" wrapText="1"/>
    </xf>
    <xf numFmtId="0" fontId="111" fillId="0" borderId="119" xfId="0" applyFont="1" applyBorder="1" applyAlignment="1">
      <alignment vertical="top" wrapText="1"/>
    </xf>
    <xf numFmtId="14" fontId="96" fillId="0" borderId="119" xfId="0" applyNumberFormat="1" applyFont="1" applyBorder="1" applyAlignment="1">
      <alignment vertical="top" wrapText="1"/>
    </xf>
    <xf numFmtId="0" fontId="100" fillId="0" borderId="119" xfId="0" applyFont="1" applyBorder="1" applyAlignment="1">
      <alignment vertical="top" wrapText="1"/>
    </xf>
    <xf numFmtId="3" fontId="98" fillId="0" borderId="122" xfId="0" applyNumberFormat="1" applyFont="1" applyBorder="1" applyAlignment="1">
      <alignment vertical="top" wrapText="1"/>
    </xf>
    <xf numFmtId="0" fontId="78" fillId="0" borderId="119" xfId="0" applyFont="1" applyBorder="1" applyAlignment="1">
      <alignment horizontal="center" vertical="top" wrapText="1"/>
    </xf>
    <xf numFmtId="0" fontId="73" fillId="18" borderId="1" xfId="0" applyFont="1" applyFill="1" applyBorder="1" applyAlignment="1">
      <alignment vertical="top" wrapText="1"/>
    </xf>
    <xf numFmtId="0" fontId="73" fillId="18" borderId="82" xfId="0" applyFont="1" applyFill="1" applyBorder="1" applyAlignment="1">
      <alignment vertical="top" wrapText="1"/>
    </xf>
    <xf numFmtId="0" fontId="73" fillId="18" borderId="22" xfId="0" applyFont="1" applyFill="1" applyBorder="1" applyAlignment="1">
      <alignment vertical="top" wrapText="1"/>
    </xf>
    <xf numFmtId="0" fontId="73" fillId="18" borderId="121" xfId="0" applyFont="1" applyFill="1" applyBorder="1" applyAlignment="1">
      <alignment vertical="top" wrapText="1"/>
    </xf>
    <xf numFmtId="0" fontId="60" fillId="18" borderId="121" xfId="2" applyFill="1" applyBorder="1" applyAlignment="1">
      <alignment vertical="top" wrapText="1"/>
    </xf>
    <xf numFmtId="0" fontId="79" fillId="18" borderId="82" xfId="0" applyFont="1" applyFill="1" applyBorder="1" applyAlignment="1">
      <alignment vertical="top" wrapText="1"/>
    </xf>
    <xf numFmtId="14" fontId="58" fillId="18" borderId="75" xfId="0" applyNumberFormat="1" applyFont="1" applyFill="1" applyBorder="1" applyAlignment="1">
      <alignment vertical="top" wrapText="1"/>
    </xf>
    <xf numFmtId="0" fontId="73" fillId="18" borderId="75" xfId="0" applyFont="1" applyFill="1" applyBorder="1" applyAlignment="1">
      <alignment vertical="top" wrapText="1"/>
    </xf>
    <xf numFmtId="3" fontId="98" fillId="18" borderId="0" xfId="0" applyNumberFormat="1" applyFont="1" applyFill="1" applyAlignment="1">
      <alignment vertical="top" wrapText="1"/>
    </xf>
    <xf numFmtId="3" fontId="90" fillId="18" borderId="0" xfId="0" applyNumberFormat="1" applyFont="1" applyFill="1" applyAlignment="1">
      <alignment vertical="top" wrapText="1"/>
    </xf>
    <xf numFmtId="3" fontId="90" fillId="18" borderId="119" xfId="0" applyNumberFormat="1" applyFont="1" applyFill="1" applyBorder="1" applyAlignment="1">
      <alignment vertical="top" wrapText="1"/>
    </xf>
    <xf numFmtId="0" fontId="71" fillId="0" borderId="0" xfId="0" applyFont="1" applyAlignment="1">
      <alignment vertical="top"/>
    </xf>
    <xf numFmtId="0" fontId="59" fillId="0" borderId="82" xfId="0" applyFont="1" applyBorder="1" applyAlignment="1">
      <alignment vertical="top" wrapText="1"/>
    </xf>
    <xf numFmtId="0" fontId="11" fillId="11" borderId="3" xfId="0" applyFont="1" applyFill="1" applyBorder="1" applyAlignment="1" applyProtection="1">
      <alignment horizontal="left" vertical="top" wrapText="1"/>
      <protection locked="0"/>
    </xf>
    <xf numFmtId="0" fontId="11" fillId="11" borderId="2" xfId="0" applyFont="1" applyFill="1" applyBorder="1" applyAlignment="1" applyProtection="1">
      <alignment horizontal="left" vertical="top" wrapText="1"/>
      <protection locked="0"/>
    </xf>
    <xf numFmtId="3" fontId="11" fillId="11" borderId="13" xfId="0" applyNumberFormat="1" applyFont="1" applyFill="1" applyBorder="1" applyAlignment="1" applyProtection="1">
      <alignment horizontal="right" vertical="top"/>
      <protection locked="0"/>
    </xf>
    <xf numFmtId="3" fontId="11" fillId="11" borderId="3" xfId="0" applyNumberFormat="1" applyFont="1" applyFill="1" applyBorder="1" applyAlignment="1" applyProtection="1">
      <alignment horizontal="right" vertical="top"/>
      <protection locked="0"/>
    </xf>
    <xf numFmtId="3" fontId="11" fillId="11" borderId="12" xfId="0" applyNumberFormat="1" applyFont="1" applyFill="1" applyBorder="1" applyAlignment="1" applyProtection="1">
      <alignment horizontal="right" vertical="top"/>
      <protection locked="0"/>
    </xf>
    <xf numFmtId="3" fontId="11" fillId="11" borderId="19" xfId="0" applyNumberFormat="1" applyFont="1" applyFill="1" applyBorder="1" applyAlignment="1" applyProtection="1">
      <alignment horizontal="right" vertical="top"/>
      <protection locked="0"/>
    </xf>
    <xf numFmtId="0" fontId="11" fillId="11" borderId="20" xfId="0" applyFont="1" applyFill="1" applyBorder="1" applyAlignment="1" applyProtection="1">
      <alignment vertical="top" wrapText="1"/>
      <protection locked="0"/>
    </xf>
    <xf numFmtId="0" fontId="11" fillId="11" borderId="40" xfId="0" applyFont="1" applyFill="1" applyBorder="1" applyAlignment="1" applyProtection="1">
      <alignment vertical="top" wrapText="1"/>
      <protection locked="0"/>
    </xf>
    <xf numFmtId="0" fontId="11" fillId="11" borderId="36" xfId="0" applyFont="1" applyFill="1" applyBorder="1" applyAlignment="1" applyProtection="1">
      <alignment vertical="top" wrapText="1"/>
      <protection locked="0"/>
    </xf>
    <xf numFmtId="0" fontId="11" fillId="11" borderId="56" xfId="0" applyFont="1" applyFill="1" applyBorder="1" applyAlignment="1" applyProtection="1">
      <alignment vertical="top" wrapText="1"/>
      <protection locked="0"/>
    </xf>
    <xf numFmtId="0" fontId="85" fillId="4" borderId="3" xfId="0" applyFont="1" applyFill="1" applyBorder="1" applyAlignment="1">
      <alignment vertical="top" wrapText="1"/>
    </xf>
    <xf numFmtId="0" fontId="85" fillId="4" borderId="2" xfId="0" applyFont="1" applyFill="1" applyBorder="1" applyAlignment="1">
      <alignment vertical="top" wrapText="1"/>
    </xf>
    <xf numFmtId="0" fontId="11" fillId="11" borderId="20" xfId="0" applyFont="1" applyFill="1" applyBorder="1" applyAlignment="1">
      <alignment vertical="top"/>
    </xf>
    <xf numFmtId="0" fontId="11" fillId="11" borderId="40" xfId="0" applyFont="1" applyFill="1" applyBorder="1" applyAlignment="1">
      <alignment vertical="top"/>
    </xf>
    <xf numFmtId="0" fontId="11" fillId="11" borderId="36" xfId="0" applyFont="1" applyFill="1" applyBorder="1" applyAlignment="1">
      <alignment vertical="top"/>
    </xf>
    <xf numFmtId="3" fontId="17" fillId="11" borderId="39" xfId="0" applyNumberFormat="1" applyFont="1" applyFill="1" applyBorder="1" applyAlignment="1" applyProtection="1">
      <alignment horizontal="right" vertical="top"/>
      <protection locked="0"/>
    </xf>
    <xf numFmtId="3" fontId="17" fillId="11" borderId="2" xfId="0" applyNumberFormat="1" applyFont="1" applyFill="1" applyBorder="1" applyAlignment="1" applyProtection="1">
      <alignment horizontal="right" vertical="top"/>
      <protection locked="0"/>
    </xf>
    <xf numFmtId="3" fontId="17" fillId="11" borderId="14" xfId="0" applyNumberFormat="1" applyFont="1" applyFill="1" applyBorder="1" applyAlignment="1" applyProtection="1">
      <alignment horizontal="right" vertical="top"/>
      <protection locked="0"/>
    </xf>
    <xf numFmtId="3" fontId="17" fillId="11" borderId="13" xfId="0" applyNumberFormat="1" applyFont="1" applyFill="1" applyBorder="1" applyAlignment="1" applyProtection="1">
      <alignment horizontal="right" vertical="top"/>
      <protection locked="0"/>
    </xf>
    <xf numFmtId="3" fontId="17" fillId="11" borderId="3" xfId="0" applyNumberFormat="1" applyFont="1" applyFill="1" applyBorder="1" applyAlignment="1" applyProtection="1">
      <alignment horizontal="right" vertical="top"/>
      <protection locked="0"/>
    </xf>
    <xf numFmtId="3" fontId="17" fillId="11" borderId="12" xfId="0" applyNumberFormat="1" applyFont="1" applyFill="1" applyBorder="1" applyAlignment="1" applyProtection="1">
      <alignment horizontal="right" vertical="top"/>
      <protection locked="0"/>
    </xf>
    <xf numFmtId="0" fontId="17" fillId="11" borderId="22" xfId="0" applyFont="1" applyFill="1" applyBorder="1" applyAlignment="1">
      <alignment vertical="top"/>
    </xf>
    <xf numFmtId="0" fontId="17" fillId="11" borderId="40" xfId="0" applyFont="1" applyFill="1" applyBorder="1" applyAlignment="1">
      <alignment vertical="top"/>
    </xf>
    <xf numFmtId="0" fontId="17" fillId="11" borderId="39" xfId="0" applyFont="1" applyFill="1" applyBorder="1" applyAlignment="1">
      <alignment vertical="top"/>
    </xf>
    <xf numFmtId="0" fontId="17" fillId="11" borderId="119" xfId="0" applyFont="1" applyFill="1" applyBorder="1" applyAlignment="1">
      <alignment vertical="top"/>
    </xf>
    <xf numFmtId="0" fontId="17" fillId="11" borderId="56" xfId="0" applyFont="1" applyFill="1" applyBorder="1" applyAlignment="1">
      <alignment vertical="top"/>
    </xf>
    <xf numFmtId="0" fontId="0" fillId="0" borderId="0" xfId="0" applyAlignment="1">
      <alignment horizontal="left" vertical="top" wrapText="1"/>
    </xf>
    <xf numFmtId="0" fontId="1" fillId="3" borderId="0" xfId="0" applyFont="1" applyFill="1" applyAlignment="1">
      <alignment horizontal="left" vertical="top" wrapText="1"/>
    </xf>
    <xf numFmtId="3" fontId="21" fillId="0" borderId="0" xfId="0" applyNumberFormat="1" applyFont="1" applyAlignment="1">
      <alignment vertical="top"/>
    </xf>
    <xf numFmtId="0" fontId="114" fillId="20" borderId="8" xfId="0" applyFont="1" applyFill="1" applyBorder="1" applyAlignment="1">
      <alignment horizontal="left" vertical="top" wrapText="1"/>
    </xf>
    <xf numFmtId="0" fontId="115" fillId="20" borderId="8" xfId="0" applyFont="1" applyFill="1" applyBorder="1" applyAlignment="1">
      <alignment horizontal="left" vertical="top" wrapText="1"/>
    </xf>
    <xf numFmtId="0" fontId="19" fillId="21" borderId="1" xfId="0" applyFont="1" applyFill="1" applyBorder="1" applyAlignment="1" applyProtection="1">
      <alignment horizontal="left" vertical="top" wrapText="1"/>
      <protection locked="0"/>
    </xf>
    <xf numFmtId="0" fontId="64" fillId="21" borderId="75" xfId="0" applyFont="1" applyFill="1" applyBorder="1" applyAlignment="1">
      <alignment wrapText="1"/>
    </xf>
    <xf numFmtId="0" fontId="64" fillId="22" borderId="75" xfId="0" applyFont="1" applyFill="1" applyBorder="1" applyAlignment="1" applyProtection="1">
      <alignment horizontal="left" vertical="top" wrapText="1"/>
      <protection locked="0"/>
    </xf>
    <xf numFmtId="0" fontId="64" fillId="21" borderId="75" xfId="0" applyFont="1" applyFill="1" applyBorder="1" applyAlignment="1" applyProtection="1">
      <alignment horizontal="left" vertical="top" wrapText="1"/>
      <protection locked="0"/>
    </xf>
    <xf numFmtId="0" fontId="11" fillId="21" borderId="3" xfId="0" applyFont="1" applyFill="1" applyBorder="1" applyAlignment="1" applyProtection="1">
      <alignment horizontal="left" vertical="top" wrapText="1"/>
      <protection locked="0"/>
    </xf>
    <xf numFmtId="0" fontId="15" fillId="21" borderId="3" xfId="0" applyFont="1" applyFill="1" applyBorder="1" applyAlignment="1" applyProtection="1">
      <alignment horizontal="left" vertical="top" wrapText="1"/>
      <protection locked="0"/>
    </xf>
    <xf numFmtId="0" fontId="27" fillId="21" borderId="3" xfId="0" applyFont="1" applyFill="1" applyBorder="1" applyAlignment="1" applyProtection="1">
      <alignment horizontal="left" vertical="top" wrapText="1"/>
      <protection locked="0"/>
    </xf>
    <xf numFmtId="0" fontId="19" fillId="21" borderId="3" xfId="3" applyFont="1" applyFill="1" applyBorder="1" applyAlignment="1" applyProtection="1">
      <alignment horizontal="left" vertical="top" wrapText="1"/>
      <protection locked="0"/>
    </xf>
    <xf numFmtId="0" fontId="64" fillId="21" borderId="3" xfId="0" applyFont="1" applyFill="1" applyBorder="1" applyAlignment="1" applyProtection="1">
      <alignment horizontal="left" vertical="top" wrapText="1"/>
      <protection locked="0"/>
    </xf>
    <xf numFmtId="0" fontId="64" fillId="21" borderId="21" xfId="0" applyFont="1" applyFill="1" applyBorder="1" applyAlignment="1" applyProtection="1">
      <alignment horizontal="left" vertical="top" wrapText="1"/>
      <protection locked="0"/>
    </xf>
    <xf numFmtId="0" fontId="19" fillId="11" borderId="31" xfId="0" applyFont="1" applyFill="1" applyBorder="1" applyAlignment="1" applyProtection="1">
      <alignment horizontal="left" vertical="top"/>
      <protection locked="0"/>
    </xf>
    <xf numFmtId="0" fontId="15" fillId="11" borderId="1" xfId="0" applyFont="1" applyFill="1" applyBorder="1" applyAlignment="1" applyProtection="1">
      <alignment horizontal="left" vertical="top"/>
      <protection locked="0"/>
    </xf>
    <xf numFmtId="0" fontId="19" fillId="11" borderId="1" xfId="0" applyFont="1" applyFill="1" applyBorder="1" applyAlignment="1" applyProtection="1">
      <alignment horizontal="left" vertical="top"/>
      <protection locked="0"/>
    </xf>
    <xf numFmtId="0" fontId="19" fillId="21" borderId="1" xfId="0" applyFont="1" applyFill="1" applyBorder="1" applyAlignment="1" applyProtection="1">
      <alignment horizontal="left" vertical="top"/>
      <protection locked="0"/>
    </xf>
    <xf numFmtId="0" fontId="19" fillId="11" borderId="22" xfId="0" applyFont="1" applyFill="1" applyBorder="1" applyAlignment="1" applyProtection="1">
      <alignment vertical="top"/>
      <protection locked="0"/>
    </xf>
    <xf numFmtId="0" fontId="82" fillId="11" borderId="40" xfId="0" applyFont="1" applyFill="1" applyBorder="1" applyAlignment="1" applyProtection="1">
      <alignment vertical="top"/>
      <protection locked="0"/>
    </xf>
    <xf numFmtId="0" fontId="19" fillId="11" borderId="33" xfId="0" applyFont="1" applyFill="1" applyBorder="1" applyAlignment="1" applyProtection="1">
      <alignment vertical="top"/>
      <protection locked="0"/>
    </xf>
    <xf numFmtId="0" fontId="19" fillId="11" borderId="36" xfId="0" applyFont="1" applyFill="1" applyBorder="1" applyAlignment="1" applyProtection="1">
      <alignment vertical="top"/>
      <protection locked="0"/>
    </xf>
    <xf numFmtId="0" fontId="19" fillId="11" borderId="1" xfId="1" applyFont="1" applyFill="1" applyBorder="1" applyAlignment="1" applyProtection="1">
      <alignment horizontal="left" vertical="top"/>
      <protection locked="0"/>
    </xf>
    <xf numFmtId="0" fontId="19" fillId="11" borderId="3" xfId="0" applyFont="1" applyFill="1" applyBorder="1" applyAlignment="1" applyProtection="1">
      <alignment horizontal="left" vertical="top"/>
      <protection locked="0"/>
    </xf>
    <xf numFmtId="0" fontId="15" fillId="11" borderId="109" xfId="0" applyFont="1" applyFill="1" applyBorder="1" applyAlignment="1" applyProtection="1">
      <alignment horizontal="left" vertical="top"/>
      <protection locked="0"/>
    </xf>
    <xf numFmtId="0" fontId="19" fillId="11" borderId="109" xfId="0" applyFont="1" applyFill="1" applyBorder="1" applyAlignment="1" applyProtection="1">
      <alignment horizontal="left" vertical="top"/>
      <protection locked="0"/>
    </xf>
    <xf numFmtId="0" fontId="19" fillId="11" borderId="103" xfId="0" applyFont="1" applyFill="1" applyBorder="1" applyAlignment="1" applyProtection="1">
      <alignment horizontal="left" vertical="top"/>
      <protection locked="0"/>
    </xf>
    <xf numFmtId="0" fontId="19" fillId="11" borderId="109" xfId="1" applyFont="1" applyFill="1" applyBorder="1" applyAlignment="1" applyProtection="1">
      <alignment horizontal="left" vertical="top"/>
      <protection locked="0"/>
    </xf>
    <xf numFmtId="0" fontId="19" fillId="21" borderId="109" xfId="0" applyFont="1" applyFill="1" applyBorder="1" applyAlignment="1" applyProtection="1">
      <alignment horizontal="left" vertical="top"/>
      <protection locked="0"/>
    </xf>
    <xf numFmtId="0" fontId="19" fillId="11" borderId="114" xfId="0" applyFont="1" applyFill="1" applyBorder="1" applyAlignment="1" applyProtection="1">
      <alignment vertical="top"/>
      <protection locked="0"/>
    </xf>
    <xf numFmtId="0" fontId="82" fillId="11" borderId="117" xfId="0" applyFont="1" applyFill="1" applyBorder="1" applyAlignment="1" applyProtection="1">
      <alignment vertical="top"/>
      <protection locked="0"/>
    </xf>
    <xf numFmtId="0" fontId="19" fillId="11" borderId="118" xfId="0" applyFont="1" applyFill="1" applyBorder="1" applyAlignment="1" applyProtection="1">
      <alignment vertical="top"/>
      <protection locked="0"/>
    </xf>
    <xf numFmtId="0" fontId="67" fillId="11" borderId="1" xfId="0" applyFont="1" applyFill="1" applyBorder="1" applyAlignment="1" applyProtection="1">
      <alignment horizontal="left" vertical="top"/>
      <protection locked="0"/>
    </xf>
    <xf numFmtId="0" fontId="67" fillId="11" borderId="1" xfId="1" applyFont="1" applyFill="1" applyBorder="1" applyAlignment="1" applyProtection="1">
      <alignment horizontal="left" vertical="top"/>
      <protection locked="0"/>
    </xf>
    <xf numFmtId="0" fontId="82" fillId="11" borderId="1" xfId="0" applyFont="1" applyFill="1" applyBorder="1" applyAlignment="1" applyProtection="1">
      <alignment horizontal="left" vertical="top"/>
      <protection locked="0"/>
    </xf>
    <xf numFmtId="0" fontId="19" fillId="11" borderId="40" xfId="0" applyFont="1" applyFill="1" applyBorder="1" applyAlignment="1" applyProtection="1">
      <alignment vertical="top"/>
      <protection locked="0"/>
    </xf>
    <xf numFmtId="0" fontId="102" fillId="11" borderId="40" xfId="0" applyFont="1" applyFill="1" applyBorder="1" applyAlignment="1" applyProtection="1">
      <alignment vertical="top"/>
      <protection locked="0"/>
    </xf>
    <xf numFmtId="0" fontId="19" fillId="11" borderId="3" xfId="0" applyFont="1" applyFill="1" applyBorder="1" applyAlignment="1" applyProtection="1">
      <alignment vertical="top"/>
      <protection locked="0"/>
    </xf>
    <xf numFmtId="0" fontId="15" fillId="11" borderId="1" xfId="3" applyFont="1" applyFill="1" applyBorder="1" applyAlignment="1" applyProtection="1">
      <alignment horizontal="left" vertical="top"/>
      <protection locked="0"/>
    </xf>
    <xf numFmtId="0" fontId="19" fillId="11" borderId="1" xfId="3" applyFont="1" applyFill="1" applyBorder="1" applyAlignment="1" applyProtection="1">
      <alignment horizontal="left" vertical="top"/>
      <protection locked="0"/>
    </xf>
    <xf numFmtId="0" fontId="19" fillId="11" borderId="3" xfId="3" applyFont="1" applyFill="1" applyBorder="1" applyAlignment="1" applyProtection="1">
      <alignment horizontal="left" vertical="top"/>
      <protection locked="0"/>
    </xf>
    <xf numFmtId="0" fontId="19" fillId="21" borderId="1" xfId="3" applyFont="1" applyFill="1" applyBorder="1" applyAlignment="1" applyProtection="1">
      <alignment horizontal="left" vertical="top"/>
      <protection locked="0"/>
    </xf>
    <xf numFmtId="0" fontId="19" fillId="11" borderId="22" xfId="3" applyFont="1" applyFill="1" applyBorder="1" applyAlignment="1" applyProtection="1">
      <alignment vertical="top"/>
      <protection locked="0"/>
    </xf>
    <xf numFmtId="0" fontId="82" fillId="11" borderId="40" xfId="3" applyFont="1" applyFill="1" applyBorder="1" applyAlignment="1" applyProtection="1">
      <alignment vertical="top"/>
      <protection locked="0"/>
    </xf>
    <xf numFmtId="0" fontId="19" fillId="11" borderId="36" xfId="3" applyFont="1" applyFill="1" applyBorder="1" applyAlignment="1" applyProtection="1">
      <alignment vertical="top"/>
      <protection locked="0"/>
    </xf>
    <xf numFmtId="0" fontId="19" fillId="11" borderId="3" xfId="3" applyFont="1" applyFill="1" applyBorder="1" applyAlignment="1" applyProtection="1">
      <alignment vertical="top"/>
      <protection locked="0"/>
    </xf>
    <xf numFmtId="0" fontId="82" fillId="11" borderId="22" xfId="3" applyFont="1" applyFill="1" applyBorder="1" applyAlignment="1" applyProtection="1">
      <alignment vertical="top"/>
      <protection locked="0"/>
    </xf>
    <xf numFmtId="0" fontId="82" fillId="11" borderId="36" xfId="3" applyFont="1" applyFill="1" applyBorder="1" applyAlignment="1" applyProtection="1">
      <alignment vertical="top"/>
      <protection locked="0"/>
    </xf>
    <xf numFmtId="0" fontId="15" fillId="11" borderId="3" xfId="3" applyFont="1" applyFill="1" applyBorder="1" applyAlignment="1" applyProtection="1">
      <alignment horizontal="left" vertical="top"/>
      <protection locked="0"/>
    </xf>
    <xf numFmtId="0" fontId="19" fillId="21" borderId="3" xfId="3" applyFont="1" applyFill="1" applyBorder="1" applyAlignment="1" applyProtection="1">
      <alignment horizontal="left" vertical="top"/>
      <protection locked="0"/>
    </xf>
    <xf numFmtId="0" fontId="4" fillId="11" borderId="22" xfId="3" applyFont="1" applyFill="1" applyBorder="1" applyAlignment="1" applyProtection="1">
      <alignment vertical="top"/>
      <protection locked="0"/>
    </xf>
    <xf numFmtId="0" fontId="0" fillId="11" borderId="3" xfId="0" applyFill="1" applyBorder="1" applyAlignment="1">
      <alignment vertical="top"/>
    </xf>
    <xf numFmtId="0" fontId="0" fillId="21" borderId="1" xfId="0" applyFill="1" applyBorder="1" applyAlignment="1">
      <alignment vertical="top"/>
    </xf>
    <xf numFmtId="0" fontId="19" fillId="11" borderId="40" xfId="3" applyFont="1" applyFill="1" applyBorder="1" applyAlignment="1" applyProtection="1">
      <alignment vertical="top"/>
      <protection locked="0"/>
    </xf>
    <xf numFmtId="0" fontId="15" fillId="11" borderId="46" xfId="0" applyFont="1" applyFill="1" applyBorder="1" applyAlignment="1" applyProtection="1">
      <alignment horizontal="left" vertical="top"/>
      <protection locked="0"/>
    </xf>
    <xf numFmtId="0" fontId="19" fillId="11" borderId="46" xfId="0" applyFont="1" applyFill="1" applyBorder="1" applyAlignment="1" applyProtection="1">
      <alignment horizontal="left" vertical="top"/>
      <protection locked="0"/>
    </xf>
    <xf numFmtId="0" fontId="19" fillId="11" borderId="21" xfId="0" applyFont="1" applyFill="1" applyBorder="1" applyAlignment="1" applyProtection="1">
      <alignment horizontal="left" vertical="top"/>
      <protection locked="0"/>
    </xf>
    <xf numFmtId="0" fontId="15" fillId="11" borderId="21" xfId="0" applyFont="1" applyFill="1" applyBorder="1" applyAlignment="1" applyProtection="1">
      <alignment horizontal="left" vertical="top"/>
      <protection locked="0"/>
    </xf>
    <xf numFmtId="0" fontId="19" fillId="11" borderId="21" xfId="1" applyFont="1" applyFill="1" applyBorder="1" applyAlignment="1" applyProtection="1">
      <alignment horizontal="left" vertical="top"/>
      <protection locked="0"/>
    </xf>
    <xf numFmtId="0" fontId="15" fillId="21" borderId="21" xfId="0" applyFont="1" applyFill="1" applyBorder="1" applyAlignment="1" applyProtection="1">
      <alignment horizontal="left" vertical="top"/>
      <protection locked="0"/>
    </xf>
    <xf numFmtId="0" fontId="19" fillId="11" borderId="44" xfId="0" applyFont="1" applyFill="1" applyBorder="1" applyAlignment="1" applyProtection="1">
      <alignment vertical="top"/>
      <protection locked="0"/>
    </xf>
    <xf numFmtId="0" fontId="82" fillId="11" borderId="47" xfId="0" applyFont="1" applyFill="1" applyBorder="1" applyAlignment="1" applyProtection="1">
      <alignment vertical="top"/>
      <protection locked="0"/>
    </xf>
    <xf numFmtId="0" fontId="19" fillId="11" borderId="51" xfId="0" applyFont="1" applyFill="1" applyBorder="1" applyAlignment="1" applyProtection="1">
      <alignment vertical="top"/>
      <protection locked="0"/>
    </xf>
    <xf numFmtId="0" fontId="64" fillId="11" borderId="46" xfId="0" applyFont="1" applyFill="1" applyBorder="1" applyAlignment="1" applyProtection="1">
      <alignment horizontal="left" vertical="top"/>
      <protection locked="0"/>
    </xf>
    <xf numFmtId="0" fontId="82" fillId="11" borderId="46" xfId="0" applyFont="1" applyFill="1" applyBorder="1" applyAlignment="1" applyProtection="1">
      <alignment horizontal="left" vertical="top"/>
      <protection locked="0"/>
    </xf>
    <xf numFmtId="0" fontId="82" fillId="11" borderId="3" xfId="0" applyFont="1" applyFill="1" applyBorder="1" applyAlignment="1" applyProtection="1">
      <alignment horizontal="left" vertical="top"/>
      <protection locked="0"/>
    </xf>
    <xf numFmtId="0" fontId="64" fillId="11" borderId="21" xfId="0" applyFont="1" applyFill="1" applyBorder="1" applyAlignment="1" applyProtection="1">
      <alignment horizontal="left" vertical="top"/>
      <protection locked="0"/>
    </xf>
    <xf numFmtId="0" fontId="82" fillId="11" borderId="21" xfId="1" applyFont="1" applyFill="1" applyBorder="1" applyAlignment="1" applyProtection="1">
      <alignment horizontal="left" vertical="top"/>
      <protection locked="0"/>
    </xf>
    <xf numFmtId="0" fontId="64" fillId="21" borderId="21" xfId="0" applyFont="1" applyFill="1" applyBorder="1" applyAlignment="1" applyProtection="1">
      <alignment horizontal="left" vertical="top"/>
      <protection locked="0"/>
    </xf>
    <xf numFmtId="0" fontId="82" fillId="11" borderId="21" xfId="0" applyFont="1" applyFill="1" applyBorder="1" applyAlignment="1" applyProtection="1">
      <alignment horizontal="left" vertical="top"/>
      <protection locked="0"/>
    </xf>
    <xf numFmtId="0" fontId="82" fillId="11" borderId="44" xfId="0" applyFont="1" applyFill="1" applyBorder="1" applyAlignment="1" applyProtection="1">
      <alignment vertical="top"/>
      <protection locked="0"/>
    </xf>
    <xf numFmtId="0" fontId="94" fillId="11" borderId="0" xfId="0" applyFont="1" applyFill="1"/>
    <xf numFmtId="3" fontId="20" fillId="18" borderId="2" xfId="0" applyNumberFormat="1" applyFont="1" applyFill="1" applyBorder="1" applyAlignment="1" applyProtection="1">
      <alignment vertical="top"/>
      <protection locked="0"/>
    </xf>
    <xf numFmtId="3" fontId="20" fillId="23" borderId="39" xfId="0" applyNumberFormat="1" applyFont="1" applyFill="1" applyBorder="1" applyAlignment="1" applyProtection="1">
      <alignment vertical="top"/>
      <protection locked="0"/>
    </xf>
    <xf numFmtId="3" fontId="20" fillId="23" borderId="110" xfId="0" applyNumberFormat="1" applyFont="1" applyFill="1" applyBorder="1" applyAlignment="1" applyProtection="1">
      <alignment vertical="top"/>
      <protection locked="0"/>
    </xf>
    <xf numFmtId="3" fontId="20" fillId="23" borderId="22" xfId="3" applyNumberFormat="1" applyFont="1" applyFill="1" applyBorder="1" applyAlignment="1" applyProtection="1">
      <alignment vertical="top"/>
      <protection locked="0"/>
    </xf>
    <xf numFmtId="3" fontId="20" fillId="23" borderId="2" xfId="3" applyNumberFormat="1" applyFont="1" applyFill="1" applyBorder="1" applyAlignment="1" applyProtection="1">
      <alignment vertical="top"/>
      <protection locked="0"/>
    </xf>
    <xf numFmtId="3" fontId="20" fillId="23" borderId="39" xfId="3" applyNumberFormat="1" applyFont="1" applyFill="1" applyBorder="1" applyAlignment="1" applyProtection="1">
      <alignment vertical="top"/>
      <protection locked="0"/>
    </xf>
    <xf numFmtId="3" fontId="20" fillId="23" borderId="14" xfId="3" applyNumberFormat="1" applyFont="1" applyFill="1" applyBorder="1" applyAlignment="1" applyProtection="1">
      <alignment vertical="top"/>
      <protection locked="0"/>
    </xf>
    <xf numFmtId="3" fontId="20" fillId="18" borderId="2" xfId="3" applyNumberFormat="1" applyFont="1" applyFill="1" applyBorder="1" applyAlignment="1" applyProtection="1">
      <alignment vertical="top"/>
      <protection locked="0"/>
    </xf>
    <xf numFmtId="3" fontId="20" fillId="23" borderId="45" xfId="0" applyNumberFormat="1" applyFont="1" applyFill="1" applyBorder="1" applyAlignment="1" applyProtection="1">
      <alignment vertical="top"/>
      <protection locked="0"/>
    </xf>
    <xf numFmtId="3" fontId="18" fillId="23" borderId="48" xfId="0" applyNumberFormat="1" applyFont="1" applyFill="1" applyBorder="1" applyAlignment="1" applyProtection="1">
      <alignment horizontal="right" vertical="top"/>
      <protection locked="0"/>
    </xf>
    <xf numFmtId="0" fontId="82" fillId="18" borderId="1" xfId="0" applyFont="1" applyFill="1" applyBorder="1" applyAlignment="1" applyProtection="1">
      <alignment horizontal="left" vertical="top" wrapText="1"/>
      <protection locked="0"/>
    </xf>
    <xf numFmtId="3" fontId="1" fillId="7" borderId="71" xfId="0" applyNumberFormat="1" applyFont="1" applyFill="1" applyBorder="1" applyAlignment="1">
      <alignment vertical="top"/>
    </xf>
    <xf numFmtId="0" fontId="0" fillId="7" borderId="83" xfId="0" applyFill="1" applyBorder="1" applyAlignment="1">
      <alignment vertical="top"/>
    </xf>
    <xf numFmtId="3" fontId="1" fillId="7" borderId="27" xfId="0" applyNumberFormat="1" applyFont="1" applyFill="1" applyBorder="1" applyAlignment="1">
      <alignment vertical="top"/>
    </xf>
    <xf numFmtId="0" fontId="1" fillId="7" borderId="27" xfId="0" applyFont="1" applyFill="1" applyBorder="1" applyAlignment="1">
      <alignment vertical="top"/>
    </xf>
    <xf numFmtId="0" fontId="0" fillId="7" borderId="29" xfId="0" applyFill="1" applyBorder="1" applyAlignment="1">
      <alignment vertical="top"/>
    </xf>
    <xf numFmtId="3" fontId="0" fillId="7" borderId="81" xfId="0" applyNumberFormat="1" applyFill="1" applyBorder="1" applyAlignment="1">
      <alignment vertical="top"/>
    </xf>
    <xf numFmtId="0" fontId="0" fillId="7" borderId="82" xfId="0" applyFill="1" applyBorder="1" applyAlignment="1">
      <alignment vertical="top"/>
    </xf>
    <xf numFmtId="0" fontId="0" fillId="7" borderId="55" xfId="0" applyFill="1" applyBorder="1" applyAlignment="1">
      <alignment vertical="top"/>
    </xf>
    <xf numFmtId="3" fontId="0" fillId="7" borderId="2" xfId="0" applyNumberFormat="1" applyFill="1" applyBorder="1" applyAlignment="1">
      <alignment vertical="top"/>
    </xf>
    <xf numFmtId="0" fontId="0" fillId="7" borderId="75" xfId="0" applyFill="1" applyBorder="1" applyAlignment="1">
      <alignment vertical="top"/>
    </xf>
    <xf numFmtId="3" fontId="0" fillId="7" borderId="66" xfId="0" applyNumberFormat="1" applyFill="1" applyBorder="1" applyAlignment="1">
      <alignment vertical="top"/>
    </xf>
    <xf numFmtId="0" fontId="0" fillId="7" borderId="66" xfId="0" applyFill="1" applyBorder="1" applyAlignment="1">
      <alignment vertical="top"/>
    </xf>
    <xf numFmtId="0" fontId="0" fillId="7" borderId="59" xfId="0" applyFill="1" applyBorder="1" applyAlignment="1">
      <alignment vertical="top"/>
    </xf>
    <xf numFmtId="3" fontId="1" fillId="7" borderId="45" xfId="0" applyNumberFormat="1" applyFont="1" applyFill="1" applyBorder="1" applyAlignment="1">
      <alignment vertical="top"/>
    </xf>
    <xf numFmtId="0" fontId="0" fillId="7" borderId="80" xfId="0" applyFill="1" applyBorder="1" applyAlignment="1">
      <alignment vertical="top"/>
    </xf>
    <xf numFmtId="3" fontId="1" fillId="7" borderId="62" xfId="0" applyNumberFormat="1" applyFont="1" applyFill="1" applyBorder="1" applyAlignment="1">
      <alignment vertical="top"/>
    </xf>
    <xf numFmtId="0" fontId="1" fillId="7" borderId="62" xfId="0" applyFont="1" applyFill="1" applyBorder="1" applyAlignment="1">
      <alignment vertical="top"/>
    </xf>
    <xf numFmtId="3" fontId="0" fillId="7" borderId="72" xfId="0" applyNumberFormat="1" applyFill="1" applyBorder="1" applyAlignment="1">
      <alignment vertical="top"/>
    </xf>
    <xf numFmtId="0" fontId="0" fillId="7" borderId="76" xfId="0" applyFill="1" applyBorder="1" applyAlignment="1">
      <alignment vertical="top"/>
    </xf>
    <xf numFmtId="3" fontId="0" fillId="7" borderId="57" xfId="0" applyNumberFormat="1" applyFill="1" applyBorder="1" applyAlignment="1">
      <alignment vertical="top"/>
    </xf>
    <xf numFmtId="0" fontId="0" fillId="7" borderId="57" xfId="0" applyFill="1" applyBorder="1" applyAlignment="1">
      <alignment vertical="top"/>
    </xf>
    <xf numFmtId="0" fontId="0" fillId="7" borderId="58" xfId="0" applyFill="1" applyBorder="1" applyAlignment="1">
      <alignment vertical="top"/>
    </xf>
    <xf numFmtId="0" fontId="0" fillId="3" borderId="82" xfId="0" applyFill="1" applyBorder="1" applyAlignment="1">
      <alignment vertical="top"/>
    </xf>
    <xf numFmtId="0" fontId="17" fillId="11" borderId="3" xfId="0" applyFont="1" applyFill="1" applyBorder="1" applyAlignment="1" applyProtection="1">
      <alignment horizontal="left" vertical="top" wrapText="1"/>
      <protection locked="0"/>
    </xf>
    <xf numFmtId="0" fontId="49" fillId="11" borderId="1" xfId="0" applyFont="1" applyFill="1" applyBorder="1" applyAlignment="1" applyProtection="1">
      <alignment horizontal="left" vertical="top" wrapText="1"/>
      <protection locked="0"/>
    </xf>
    <xf numFmtId="0" fontId="19" fillId="23" borderId="1" xfId="0" applyFont="1" applyFill="1" applyBorder="1" applyAlignment="1" applyProtection="1">
      <alignment horizontal="left" vertical="top" wrapText="1"/>
      <protection locked="0"/>
    </xf>
    <xf numFmtId="0" fontId="19" fillId="11" borderId="1" xfId="0" applyFont="1" applyFill="1" applyBorder="1" applyAlignment="1" applyProtection="1">
      <alignment vertical="top" wrapText="1"/>
      <protection locked="0"/>
    </xf>
    <xf numFmtId="0" fontId="15" fillId="11" borderId="3" xfId="0" applyFont="1" applyFill="1" applyBorder="1" applyAlignment="1" applyProtection="1">
      <alignment vertical="top" wrapText="1"/>
      <protection locked="0"/>
    </xf>
    <xf numFmtId="0" fontId="19" fillId="11" borderId="3" xfId="3" applyFont="1" applyFill="1" applyBorder="1" applyAlignment="1" applyProtection="1">
      <alignment vertical="top" wrapText="1"/>
      <protection locked="0"/>
    </xf>
    <xf numFmtId="0" fontId="64" fillId="11" borderId="3" xfId="0" applyFont="1" applyFill="1" applyBorder="1" applyAlignment="1" applyProtection="1">
      <alignment vertical="top" wrapText="1"/>
      <protection locked="0"/>
    </xf>
    <xf numFmtId="0" fontId="64" fillId="11" borderId="21" xfId="0" applyFont="1" applyFill="1" applyBorder="1" applyAlignment="1" applyProtection="1">
      <alignment vertical="top" wrapText="1"/>
      <protection locked="0"/>
    </xf>
    <xf numFmtId="3" fontId="20" fillId="18" borderId="14" xfId="0" applyNumberFormat="1" applyFont="1" applyFill="1" applyBorder="1" applyAlignment="1" applyProtection="1">
      <alignment vertical="top"/>
      <protection locked="0"/>
    </xf>
    <xf numFmtId="3" fontId="20" fillId="18" borderId="3" xfId="0" applyNumberFormat="1" applyFont="1" applyFill="1" applyBorder="1" applyAlignment="1" applyProtection="1">
      <alignment vertical="top"/>
      <protection locked="0"/>
    </xf>
    <xf numFmtId="3" fontId="20" fillId="18" borderId="12" xfId="0" applyNumberFormat="1" applyFont="1" applyFill="1" applyBorder="1" applyAlignment="1" applyProtection="1">
      <alignment vertical="top"/>
      <protection locked="0"/>
    </xf>
    <xf numFmtId="0" fontId="20" fillId="4" borderId="39" xfId="0" applyFont="1" applyFill="1" applyBorder="1"/>
    <xf numFmtId="3" fontId="20" fillId="4" borderId="2" xfId="0" applyNumberFormat="1" applyFont="1" applyFill="1" applyBorder="1"/>
    <xf numFmtId="0" fontId="20" fillId="4" borderId="14" xfId="0" applyFont="1" applyFill="1" applyBorder="1"/>
    <xf numFmtId="0" fontId="20" fillId="4" borderId="22" xfId="0" applyFont="1" applyFill="1" applyBorder="1"/>
    <xf numFmtId="0" fontId="20" fillId="4" borderId="2" xfId="0" applyFont="1" applyFill="1" applyBorder="1"/>
    <xf numFmtId="0" fontId="20" fillId="4" borderId="13" xfId="0" applyFont="1" applyFill="1" applyBorder="1"/>
    <xf numFmtId="0" fontId="20" fillId="4" borderId="56" xfId="0" applyFont="1" applyFill="1" applyBorder="1"/>
    <xf numFmtId="3" fontId="20" fillId="4" borderId="22" xfId="0" applyNumberFormat="1" applyFont="1" applyFill="1" applyBorder="1"/>
    <xf numFmtId="0" fontId="20" fillId="4" borderId="19" xfId="0" applyFont="1" applyFill="1" applyBorder="1"/>
    <xf numFmtId="0" fontId="20" fillId="4" borderId="31" xfId="0" applyFont="1" applyFill="1" applyBorder="1"/>
    <xf numFmtId="3" fontId="20" fillId="4" borderId="75" xfId="0" applyNumberFormat="1" applyFont="1" applyFill="1" applyBorder="1"/>
    <xf numFmtId="0" fontId="20" fillId="4" borderId="38" xfId="0" applyFont="1" applyFill="1" applyBorder="1"/>
    <xf numFmtId="3" fontId="20" fillId="4" borderId="31" xfId="0" applyNumberFormat="1" applyFont="1" applyFill="1" applyBorder="1"/>
    <xf numFmtId="3" fontId="20" fillId="18" borderId="2" xfId="0" applyNumberFormat="1" applyFont="1" applyFill="1" applyBorder="1"/>
    <xf numFmtId="3" fontId="20" fillId="18" borderId="19" xfId="0" applyNumberFormat="1" applyFont="1" applyFill="1" applyBorder="1"/>
    <xf numFmtId="0" fontId="17" fillId="4" borderId="75" xfId="0" applyFont="1" applyFill="1" applyBorder="1" applyAlignment="1">
      <alignment horizontal="left" vertical="top" wrapText="1"/>
    </xf>
    <xf numFmtId="0" fontId="15" fillId="23" borderId="75" xfId="0" applyFont="1" applyFill="1" applyBorder="1" applyAlignment="1">
      <alignment horizontal="left" vertical="top" wrapText="1"/>
    </xf>
    <xf numFmtId="0" fontId="15" fillId="11" borderId="1" xfId="0" applyFont="1" applyFill="1" applyBorder="1" applyAlignment="1" applyProtection="1">
      <alignment vertical="top" wrapText="1"/>
      <protection locked="0"/>
    </xf>
    <xf numFmtId="0" fontId="19" fillId="11" borderId="1" xfId="1" applyFont="1" applyFill="1" applyBorder="1" applyAlignment="1" applyProtection="1">
      <alignment vertical="top" wrapText="1"/>
      <protection locked="0"/>
    </xf>
    <xf numFmtId="0" fontId="64" fillId="18" borderId="75" xfId="0" applyFont="1" applyFill="1" applyBorder="1" applyAlignment="1" applyProtection="1">
      <alignment vertical="top" wrapText="1"/>
      <protection locked="0"/>
    </xf>
    <xf numFmtId="0" fontId="11" fillId="11" borderId="3" xfId="0" applyFont="1" applyFill="1" applyBorder="1" applyAlignment="1" applyProtection="1">
      <alignment vertical="top" wrapText="1"/>
      <protection locked="0"/>
    </xf>
    <xf numFmtId="0" fontId="27" fillId="11" borderId="3" xfId="0" applyFont="1" applyFill="1" applyBorder="1" applyAlignment="1" applyProtection="1">
      <alignment vertical="top" wrapText="1"/>
      <protection locked="0"/>
    </xf>
    <xf numFmtId="0" fontId="15" fillId="11" borderId="3" xfId="3" applyFont="1" applyFill="1" applyBorder="1" applyAlignment="1" applyProtection="1">
      <alignment vertical="top" wrapText="1"/>
      <protection locked="0"/>
    </xf>
    <xf numFmtId="0" fontId="82" fillId="11" borderId="21" xfId="1" applyFont="1" applyFill="1" applyBorder="1" applyAlignment="1" applyProtection="1">
      <alignment vertical="top" wrapText="1"/>
      <protection locked="0"/>
    </xf>
    <xf numFmtId="0" fontId="64" fillId="4" borderId="75" xfId="0" applyFont="1" applyFill="1" applyBorder="1" applyAlignment="1">
      <alignment vertical="top" wrapText="1"/>
    </xf>
    <xf numFmtId="0" fontId="85" fillId="4" borderId="75" xfId="0" applyFont="1" applyFill="1" applyBorder="1" applyAlignment="1">
      <alignment vertical="top" wrapText="1"/>
    </xf>
    <xf numFmtId="3" fontId="20" fillId="18" borderId="14" xfId="0" applyNumberFormat="1" applyFont="1" applyFill="1" applyBorder="1"/>
    <xf numFmtId="3" fontId="20" fillId="18" borderId="38" xfId="0" applyNumberFormat="1" applyFont="1" applyFill="1" applyBorder="1"/>
    <xf numFmtId="3" fontId="20" fillId="23" borderId="2" xfId="0" applyNumberFormat="1" applyFont="1" applyFill="1" applyBorder="1"/>
    <xf numFmtId="3" fontId="20" fillId="23" borderId="75" xfId="0" applyNumberFormat="1" applyFont="1" applyFill="1" applyBorder="1"/>
    <xf numFmtId="3" fontId="20" fillId="18" borderId="75" xfId="0" applyNumberFormat="1" applyFont="1" applyFill="1" applyBorder="1"/>
    <xf numFmtId="0" fontId="17" fillId="18" borderId="75" xfId="0" applyFont="1" applyFill="1" applyBorder="1" applyAlignment="1" applyProtection="1">
      <alignment horizontal="left" vertical="top" wrapText="1"/>
      <protection locked="0"/>
    </xf>
    <xf numFmtId="3" fontId="11" fillId="23" borderId="19" xfId="0" applyNumberFormat="1" applyFont="1" applyFill="1" applyBorder="1" applyAlignment="1" applyProtection="1">
      <alignment horizontal="right" vertical="top"/>
      <protection locked="0"/>
    </xf>
    <xf numFmtId="3" fontId="11" fillId="18" borderId="3" xfId="0" applyNumberFormat="1" applyFont="1" applyFill="1" applyBorder="1" applyAlignment="1" applyProtection="1">
      <alignment horizontal="right" vertical="top"/>
      <protection locked="0"/>
    </xf>
    <xf numFmtId="3" fontId="11" fillId="18" borderId="12" xfId="0" applyNumberFormat="1" applyFont="1" applyFill="1" applyBorder="1" applyAlignment="1" applyProtection="1">
      <alignment horizontal="right" vertical="top"/>
      <protection locked="0"/>
    </xf>
    <xf numFmtId="3" fontId="11" fillId="18" borderId="11" xfId="0" applyNumberFormat="1" applyFont="1" applyFill="1" applyBorder="1" applyAlignment="1" applyProtection="1">
      <alignment horizontal="right" vertical="top"/>
      <protection locked="0"/>
    </xf>
    <xf numFmtId="3" fontId="11" fillId="23" borderId="13" xfId="0" applyNumberFormat="1" applyFont="1" applyFill="1" applyBorder="1" applyAlignment="1" applyProtection="1">
      <alignment horizontal="right" vertical="top"/>
      <protection locked="0"/>
    </xf>
    <xf numFmtId="3" fontId="18" fillId="18" borderId="12" xfId="0" applyNumberFormat="1" applyFont="1" applyFill="1" applyBorder="1" applyAlignment="1" applyProtection="1">
      <alignment horizontal="right" vertical="top"/>
      <protection locked="0"/>
    </xf>
    <xf numFmtId="3" fontId="18" fillId="18" borderId="3" xfId="0" applyNumberFormat="1" applyFont="1" applyFill="1" applyBorder="1" applyAlignment="1" applyProtection="1">
      <alignment horizontal="right" vertical="top"/>
      <protection locked="0"/>
    </xf>
    <xf numFmtId="0" fontId="15" fillId="23" borderId="3" xfId="0" applyFont="1" applyFill="1" applyBorder="1" applyAlignment="1" applyProtection="1">
      <alignment horizontal="left" vertical="top" wrapText="1"/>
      <protection locked="0"/>
    </xf>
    <xf numFmtId="0" fontId="49" fillId="11" borderId="3" xfId="3" applyFont="1" applyFill="1" applyBorder="1" applyAlignment="1" applyProtection="1">
      <alignment horizontal="left" vertical="top" wrapText="1"/>
      <protection locked="0"/>
    </xf>
    <xf numFmtId="0" fontId="17" fillId="11" borderId="21" xfId="0" applyFont="1" applyFill="1" applyBorder="1" applyAlignment="1" applyProtection="1">
      <alignment horizontal="left" vertical="top" wrapText="1"/>
      <protection locked="0"/>
    </xf>
    <xf numFmtId="0" fontId="15" fillId="23" borderId="1" xfId="0" applyFont="1" applyFill="1" applyBorder="1" applyAlignment="1" applyProtection="1">
      <alignment vertical="top" wrapText="1"/>
      <protection locked="0"/>
    </xf>
    <xf numFmtId="3" fontId="20" fillId="23" borderId="2" xfId="0" applyNumberFormat="1" applyFont="1" applyFill="1" applyBorder="1" applyAlignment="1" applyProtection="1">
      <alignment vertical="top"/>
      <protection locked="0"/>
    </xf>
    <xf numFmtId="3" fontId="20" fillId="23" borderId="14" xfId="0" applyNumberFormat="1" applyFont="1" applyFill="1" applyBorder="1" applyAlignment="1" applyProtection="1">
      <alignment vertical="top"/>
      <protection locked="0"/>
    </xf>
    <xf numFmtId="3" fontId="20" fillId="24" borderId="22" xfId="3" applyNumberFormat="1" applyFont="1" applyFill="1" applyBorder="1" applyAlignment="1" applyProtection="1">
      <alignment vertical="top"/>
      <protection locked="0"/>
    </xf>
    <xf numFmtId="3" fontId="20" fillId="24" borderId="39" xfId="3" applyNumberFormat="1" applyFont="1" applyFill="1" applyBorder="1" applyAlignment="1" applyProtection="1">
      <alignment vertical="top"/>
      <protection locked="0"/>
    </xf>
    <xf numFmtId="3" fontId="20" fillId="24" borderId="11" xfId="3" applyNumberFormat="1" applyFont="1" applyFill="1" applyBorder="1" applyAlignment="1" applyProtection="1">
      <alignment vertical="top"/>
      <protection locked="0"/>
    </xf>
    <xf numFmtId="3" fontId="20" fillId="24" borderId="12" xfId="3" applyNumberFormat="1" applyFont="1" applyFill="1" applyBorder="1" applyAlignment="1" applyProtection="1">
      <alignment vertical="top"/>
      <protection locked="0"/>
    </xf>
    <xf numFmtId="0" fontId="45" fillId="3" borderId="0" xfId="0" applyFont="1" applyFill="1" applyAlignment="1">
      <alignment vertical="top"/>
    </xf>
    <xf numFmtId="3" fontId="27" fillId="7" borderId="0" xfId="0" applyNumberFormat="1" applyFont="1" applyFill="1" applyAlignment="1">
      <alignment vertical="top"/>
    </xf>
    <xf numFmtId="0" fontId="27" fillId="7" borderId="0" xfId="0" applyFont="1" applyFill="1" applyAlignment="1">
      <alignment vertical="top"/>
    </xf>
    <xf numFmtId="3" fontId="32" fillId="7" borderId="66" xfId="0" applyNumberFormat="1" applyFont="1" applyFill="1" applyBorder="1" applyAlignment="1">
      <alignment vertical="top"/>
    </xf>
    <xf numFmtId="3" fontId="32" fillId="7" borderId="2" xfId="0" applyNumberFormat="1" applyFont="1" applyFill="1" applyBorder="1" applyAlignment="1">
      <alignment vertical="top"/>
    </xf>
    <xf numFmtId="0" fontId="32" fillId="7" borderId="75" xfId="0" applyFont="1" applyFill="1" applyBorder="1" applyAlignment="1">
      <alignment vertical="top"/>
    </xf>
    <xf numFmtId="3" fontId="28" fillId="7" borderId="0" xfId="0" applyNumberFormat="1" applyFont="1" applyFill="1" applyAlignment="1">
      <alignment vertical="top"/>
    </xf>
    <xf numFmtId="0" fontId="28" fillId="7" borderId="82" xfId="0" applyFont="1" applyFill="1" applyBorder="1" applyAlignment="1">
      <alignment vertical="top"/>
    </xf>
    <xf numFmtId="0" fontId="28" fillId="7" borderId="0" xfId="0" applyFont="1" applyFill="1" applyAlignment="1">
      <alignment vertical="top"/>
    </xf>
    <xf numFmtId="3" fontId="1" fillId="3" borderId="81" xfId="0" applyNumberFormat="1" applyFont="1" applyFill="1" applyBorder="1" applyAlignment="1">
      <alignment vertical="top"/>
    </xf>
    <xf numFmtId="3" fontId="1" fillId="3" borderId="0" xfId="0" applyNumberFormat="1" applyFont="1" applyFill="1" applyAlignment="1">
      <alignment vertical="top"/>
    </xf>
    <xf numFmtId="0" fontId="1" fillId="3" borderId="0" xfId="0" applyFont="1" applyFill="1" applyAlignment="1">
      <alignment vertical="top"/>
    </xf>
    <xf numFmtId="3" fontId="1" fillId="7" borderId="81" xfId="0" applyNumberFormat="1" applyFont="1" applyFill="1" applyBorder="1" applyAlignment="1">
      <alignment vertical="top"/>
    </xf>
    <xf numFmtId="3" fontId="1" fillId="7" borderId="0" xfId="0" applyNumberFormat="1" applyFont="1" applyFill="1" applyAlignment="1">
      <alignment vertical="top"/>
    </xf>
    <xf numFmtId="0" fontId="1" fillId="7" borderId="0" xfId="0" applyFont="1" applyFill="1" applyAlignment="1">
      <alignment vertical="top"/>
    </xf>
    <xf numFmtId="0" fontId="0" fillId="3" borderId="46" xfId="0" applyFill="1" applyBorder="1" applyAlignment="1">
      <alignment vertical="top"/>
    </xf>
    <xf numFmtId="0" fontId="0" fillId="3" borderId="95" xfId="0" applyFill="1" applyBorder="1" applyAlignment="1">
      <alignment vertical="top"/>
    </xf>
    <xf numFmtId="0" fontId="0" fillId="3" borderId="77" xfId="0" applyFill="1" applyBorder="1" applyAlignment="1">
      <alignment vertical="top"/>
    </xf>
    <xf numFmtId="3" fontId="0" fillId="7" borderId="0" xfId="0" applyNumberFormat="1" applyFill="1" applyAlignment="1">
      <alignment vertical="top"/>
    </xf>
    <xf numFmtId="0" fontId="0" fillId="7" borderId="0" xfId="0" applyFill="1" applyAlignment="1">
      <alignment vertical="top"/>
    </xf>
    <xf numFmtId="3" fontId="0" fillId="3" borderId="72" xfId="0" applyNumberFormat="1" applyFill="1" applyBorder="1" applyAlignment="1">
      <alignment vertical="top"/>
    </xf>
    <xf numFmtId="0" fontId="0" fillId="3" borderId="76" xfId="0" applyFill="1" applyBorder="1" applyAlignment="1">
      <alignment vertical="top"/>
    </xf>
    <xf numFmtId="3" fontId="0" fillId="3" borderId="57" xfId="0" applyNumberFormat="1" applyFill="1" applyBorder="1" applyAlignment="1">
      <alignment vertical="top"/>
    </xf>
    <xf numFmtId="0" fontId="0" fillId="3" borderId="58" xfId="0" applyFill="1" applyBorder="1" applyAlignment="1">
      <alignment vertical="top"/>
    </xf>
    <xf numFmtId="0" fontId="27" fillId="7" borderId="64" xfId="0" applyFont="1" applyFill="1" applyBorder="1" applyAlignment="1">
      <alignment vertical="top"/>
    </xf>
    <xf numFmtId="3" fontId="32" fillId="7" borderId="72" xfId="0" applyNumberFormat="1" applyFont="1" applyFill="1" applyBorder="1" applyAlignment="1">
      <alignment vertical="top"/>
    </xf>
    <xf numFmtId="0" fontId="0" fillId="0" borderId="0" xfId="0" applyAlignment="1">
      <alignment vertical="top"/>
    </xf>
    <xf numFmtId="0" fontId="0" fillId="0" borderId="0" xfId="0"/>
    <xf numFmtId="0" fontId="0" fillId="0" borderId="0" xfId="0" applyAlignment="1">
      <alignment vertical="top"/>
    </xf>
    <xf numFmtId="0" fontId="117" fillId="0" borderId="0" xfId="0" applyFont="1"/>
    <xf numFmtId="0" fontId="0" fillId="4" borderId="28" xfId="0" applyFill="1" applyBorder="1" applyAlignment="1">
      <alignment vertical="top"/>
    </xf>
    <xf numFmtId="0" fontId="0" fillId="4" borderId="27" xfId="0" applyFill="1" applyBorder="1" applyAlignment="1">
      <alignment vertical="top"/>
    </xf>
    <xf numFmtId="0" fontId="0" fillId="0" borderId="27" xfId="0" applyBorder="1" applyAlignment="1">
      <alignment vertical="top"/>
    </xf>
    <xf numFmtId="0" fontId="0" fillId="0" borderId="29" xfId="0" applyBorder="1" applyAlignment="1">
      <alignment vertical="top"/>
    </xf>
    <xf numFmtId="0" fontId="2" fillId="2" borderId="69" xfId="0" applyFont="1" applyFill="1" applyBorder="1" applyAlignment="1">
      <alignment vertical="top" wrapText="1"/>
    </xf>
    <xf numFmtId="0" fontId="2" fillId="2" borderId="70" xfId="0" applyFont="1" applyFill="1" applyBorder="1" applyAlignment="1">
      <alignment vertical="top" wrapText="1"/>
    </xf>
    <xf numFmtId="0" fontId="2" fillId="2" borderId="5" xfId="0" applyFont="1" applyFill="1" applyBorder="1" applyAlignment="1">
      <alignment vertical="top" wrapText="1"/>
    </xf>
    <xf numFmtId="0" fontId="0" fillId="2" borderId="5" xfId="0" applyFill="1" applyBorder="1" applyAlignment="1">
      <alignment vertical="top" wrapText="1"/>
    </xf>
    <xf numFmtId="0" fontId="0" fillId="2" borderId="69" xfId="0" applyFill="1" applyBorder="1" applyAlignment="1">
      <alignment vertical="top" wrapText="1"/>
    </xf>
    <xf numFmtId="0" fontId="3" fillId="0" borderId="71" xfId="0" applyFont="1" applyBorder="1" applyAlignment="1">
      <alignment horizontal="left" vertical="top" wrapText="1"/>
    </xf>
    <xf numFmtId="0" fontId="3" fillId="0" borderId="27" xfId="0" applyFont="1" applyBorder="1" applyAlignment="1">
      <alignment horizontal="left" vertical="top" wrapText="1"/>
    </xf>
    <xf numFmtId="1" fontId="1" fillId="4" borderId="94" xfId="0" applyNumberFormat="1" applyFont="1" applyFill="1" applyBorder="1" applyAlignment="1">
      <alignment horizontal="center" vertical="top" wrapText="1"/>
    </xf>
    <xf numFmtId="0" fontId="1" fillId="0" borderId="95" xfId="0" applyFont="1" applyBorder="1" applyAlignment="1">
      <alignment horizontal="center" vertical="top" wrapText="1"/>
    </xf>
    <xf numFmtId="0" fontId="1" fillId="0" borderId="93" xfId="0" applyFont="1" applyBorder="1" applyAlignment="1">
      <alignment horizontal="center" vertical="top" wrapText="1"/>
    </xf>
    <xf numFmtId="1" fontId="1" fillId="4" borderId="24" xfId="0" applyNumberFormat="1" applyFont="1" applyFill="1" applyBorder="1" applyAlignment="1">
      <alignment horizontal="center" vertical="top" wrapText="1"/>
    </xf>
    <xf numFmtId="0" fontId="1" fillId="0" borderId="24" xfId="0" applyFont="1" applyBorder="1" applyAlignment="1">
      <alignment horizontal="center" vertical="top" wrapText="1"/>
    </xf>
    <xf numFmtId="0" fontId="1" fillId="0" borderId="25" xfId="0" applyFont="1" applyBorder="1" applyAlignment="1">
      <alignment horizontal="center" vertical="top" wrapText="1"/>
    </xf>
    <xf numFmtId="1" fontId="1" fillId="4" borderId="23" xfId="0" applyNumberFormat="1" applyFont="1" applyFill="1" applyBorder="1" applyAlignment="1">
      <alignment horizontal="center" vertical="top" wrapText="1"/>
    </xf>
    <xf numFmtId="0" fontId="0" fillId="8" borderId="11" xfId="0" applyFill="1" applyBorder="1" applyAlignment="1">
      <alignment horizontal="left" vertical="top" wrapText="1"/>
    </xf>
    <xf numFmtId="0" fontId="0" fillId="0" borderId="20" xfId="0" applyBorder="1" applyAlignment="1">
      <alignment horizontal="left" vertical="top" wrapText="1"/>
    </xf>
    <xf numFmtId="0" fontId="0" fillId="0" borderId="19" xfId="0" applyBorder="1" applyAlignment="1">
      <alignment horizontal="left" vertical="top" wrapText="1"/>
    </xf>
    <xf numFmtId="164" fontId="6" fillId="4" borderId="43" xfId="0" applyNumberFormat="1" applyFont="1" applyFill="1" applyBorder="1" applyAlignment="1">
      <alignment horizontal="center" vertical="top" wrapText="1"/>
    </xf>
    <xf numFmtId="0" fontId="0" fillId="0" borderId="0" xfId="0" applyAlignment="1">
      <alignment horizontal="center" vertical="top" wrapText="1"/>
    </xf>
    <xf numFmtId="0" fontId="0" fillId="0" borderId="55" xfId="0" applyBorder="1" applyAlignment="1">
      <alignment horizontal="center" vertical="top" wrapText="1"/>
    </xf>
    <xf numFmtId="0" fontId="3" fillId="0" borderId="28" xfId="0" applyFont="1" applyBorder="1" applyAlignment="1">
      <alignment horizontal="left" vertical="top" wrapText="1"/>
    </xf>
    <xf numFmtId="0" fontId="3" fillId="0" borderId="72" xfId="0" applyFont="1" applyBorder="1" applyAlignment="1">
      <alignment horizontal="left" vertical="top" wrapText="1"/>
    </xf>
    <xf numFmtId="0" fontId="3" fillId="0" borderId="57" xfId="0" applyFont="1" applyBorder="1" applyAlignment="1">
      <alignment horizontal="left" vertical="top" wrapText="1"/>
    </xf>
    <xf numFmtId="0" fontId="0" fillId="0" borderId="57" xfId="0" applyBorder="1" applyAlignment="1">
      <alignment vertical="top"/>
    </xf>
    <xf numFmtId="0" fontId="0" fillId="0" borderId="58" xfId="0" applyBorder="1" applyAlignment="1">
      <alignment vertical="top"/>
    </xf>
    <xf numFmtId="0" fontId="3" fillId="0" borderId="81" xfId="0" applyFont="1" applyBorder="1" applyAlignment="1">
      <alignment horizontal="left" vertical="top" wrapText="1"/>
    </xf>
    <xf numFmtId="0" fontId="3" fillId="0" borderId="0" xfId="0" applyFont="1" applyAlignment="1">
      <alignment horizontal="left" vertical="top" wrapText="1"/>
    </xf>
    <xf numFmtId="0" fontId="0" fillId="0" borderId="0" xfId="0" applyAlignment="1">
      <alignment vertical="top"/>
    </xf>
    <xf numFmtId="0" fontId="0" fillId="0" borderId="55" xfId="0" applyBorder="1" applyAlignment="1">
      <alignment vertical="top"/>
    </xf>
    <xf numFmtId="0" fontId="3" fillId="0" borderId="60" xfId="0" applyFont="1" applyBorder="1" applyAlignment="1">
      <alignment horizontal="left" vertical="top" wrapText="1"/>
    </xf>
    <xf numFmtId="1" fontId="0" fillId="4" borderId="23" xfId="0" applyNumberFormat="1" applyFill="1"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1" fillId="4" borderId="24" xfId="0" applyFont="1" applyFill="1" applyBorder="1" applyAlignment="1">
      <alignment horizontal="center" vertical="top" wrapText="1"/>
    </xf>
    <xf numFmtId="0" fontId="1" fillId="4" borderId="25" xfId="0" applyFont="1" applyFill="1" applyBorder="1" applyAlignment="1">
      <alignment horizontal="center" vertical="top" wrapText="1"/>
    </xf>
    <xf numFmtId="0" fontId="3" fillId="0" borderId="78" xfId="0" applyFont="1" applyBorder="1" applyAlignment="1">
      <alignment horizontal="left" vertical="top" wrapText="1"/>
    </xf>
    <xf numFmtId="0" fontId="3" fillId="0" borderId="93" xfId="0" applyFont="1" applyBorder="1" applyAlignment="1">
      <alignment horizontal="left" vertical="top" wrapText="1"/>
    </xf>
    <xf numFmtId="0" fontId="0" fillId="8" borderId="3" xfId="0" applyFill="1" applyBorder="1" applyAlignment="1">
      <alignment horizontal="left" vertical="top" wrapText="1"/>
    </xf>
    <xf numFmtId="0" fontId="0" fillId="4" borderId="23" xfId="0" applyFill="1" applyBorder="1" applyAlignment="1">
      <alignment vertical="top"/>
    </xf>
    <xf numFmtId="0" fontId="0" fillId="4" borderId="24" xfId="0" applyFill="1" applyBorder="1" applyAlignment="1">
      <alignment vertical="top"/>
    </xf>
    <xf numFmtId="0" fontId="0" fillId="4" borderId="25" xfId="0" applyFill="1" applyBorder="1" applyAlignment="1">
      <alignment vertical="top"/>
    </xf>
    <xf numFmtId="164" fontId="6" fillId="4" borderId="23" xfId="0" applyNumberFormat="1" applyFont="1" applyFill="1" applyBorder="1" applyAlignment="1">
      <alignment horizontal="center" vertical="top" wrapText="1"/>
    </xf>
    <xf numFmtId="0" fontId="0" fillId="0" borderId="24" xfId="0" applyBorder="1" applyAlignment="1">
      <alignment horizontal="center" vertical="top" wrapText="1"/>
    </xf>
    <xf numFmtId="0" fontId="0" fillId="0" borderId="25" xfId="0" applyBorder="1" applyAlignment="1">
      <alignment horizontal="center" vertical="top" wrapText="1"/>
    </xf>
    <xf numFmtId="0" fontId="0" fillId="2" borderId="6" xfId="0" applyFill="1" applyBorder="1" applyAlignment="1">
      <alignment vertical="top" wrapText="1"/>
    </xf>
    <xf numFmtId="0" fontId="2" fillId="2" borderId="98" xfId="0" applyFont="1" applyFill="1" applyBorder="1" applyAlignment="1">
      <alignment vertical="top" wrapText="1"/>
    </xf>
    <xf numFmtId="0" fontId="0" fillId="2" borderId="98" xfId="0" applyFill="1" applyBorder="1" applyAlignment="1">
      <alignment vertical="top" wrapText="1"/>
    </xf>
    <xf numFmtId="0" fontId="0" fillId="2" borderId="99" xfId="0" applyFill="1" applyBorder="1" applyAlignment="1">
      <alignment vertical="top" wrapText="1"/>
    </xf>
    <xf numFmtId="0" fontId="0" fillId="0" borderId="0" xfId="0" applyAlignment="1">
      <alignment horizontal="left" vertical="top" wrapText="1"/>
    </xf>
    <xf numFmtId="0" fontId="0" fillId="3" borderId="28" xfId="0" applyFill="1" applyBorder="1" applyAlignment="1">
      <alignment horizontal="left" vertical="top" wrapText="1"/>
    </xf>
    <xf numFmtId="0" fontId="0" fillId="3" borderId="43" xfId="0" applyFill="1" applyBorder="1" applyAlignment="1">
      <alignment horizontal="left" vertical="top" wrapText="1"/>
    </xf>
    <xf numFmtId="0" fontId="0" fillId="3" borderId="60" xfId="0" applyFill="1" applyBorder="1" applyAlignment="1">
      <alignment horizontal="left" vertical="top" wrapText="1"/>
    </xf>
    <xf numFmtId="0" fontId="0" fillId="3" borderId="95" xfId="0" applyFill="1" applyBorder="1" applyAlignment="1">
      <alignment horizontal="left" vertical="top" wrapText="1"/>
    </xf>
    <xf numFmtId="0" fontId="0" fillId="3" borderId="46" xfId="0" applyFill="1" applyBorder="1" applyAlignment="1">
      <alignment horizontal="left" vertical="top" wrapText="1"/>
    </xf>
    <xf numFmtId="0" fontId="0" fillId="3" borderId="77" xfId="0" applyFill="1" applyBorder="1" applyAlignment="1">
      <alignment horizontal="left" vertical="top" wrapText="1"/>
    </xf>
    <xf numFmtId="0" fontId="0" fillId="3" borderId="27" xfId="0" applyFill="1" applyBorder="1" applyAlignment="1">
      <alignment horizontal="left" vertical="top" wrapText="1"/>
    </xf>
    <xf numFmtId="0" fontId="0" fillId="3" borderId="0" xfId="0" applyFill="1" applyAlignment="1">
      <alignment horizontal="left" vertical="top" wrapText="1"/>
    </xf>
    <xf numFmtId="0" fontId="0" fillId="3" borderId="57" xfId="0" applyFill="1" applyBorder="1" applyAlignment="1">
      <alignment horizontal="left" vertical="top" wrapText="1"/>
    </xf>
    <xf numFmtId="0" fontId="2" fillId="11" borderId="11" xfId="0" applyFont="1" applyFill="1" applyBorder="1" applyAlignment="1" applyProtection="1">
      <alignment vertical="top" wrapText="1"/>
      <protection locked="0"/>
    </xf>
    <xf numFmtId="0" fontId="0" fillId="0" borderId="20" xfId="0" applyBorder="1" applyAlignment="1">
      <alignment vertical="top" wrapText="1"/>
    </xf>
    <xf numFmtId="0" fontId="0" fillId="0" borderId="19" xfId="0" applyBorder="1" applyAlignment="1">
      <alignment vertical="top" wrapText="1"/>
    </xf>
    <xf numFmtId="0" fontId="0" fillId="0" borderId="0" xfId="0" applyAlignment="1">
      <alignment vertical="top" wrapText="1"/>
    </xf>
    <xf numFmtId="0" fontId="28" fillId="6" borderId="87" xfId="0" applyFont="1" applyFill="1" applyBorder="1" applyAlignment="1">
      <alignment horizontal="center" vertical="top" wrapText="1"/>
    </xf>
    <xf numFmtId="0" fontId="28" fillId="6" borderId="67" xfId="0" applyFont="1" applyFill="1" applyBorder="1" applyAlignment="1">
      <alignment horizontal="center" vertical="top" wrapText="1"/>
    </xf>
    <xf numFmtId="0" fontId="31" fillId="6" borderId="63" xfId="0" applyFont="1" applyFill="1" applyBorder="1" applyAlignment="1">
      <alignment horizontal="center" vertical="top" wrapText="1"/>
    </xf>
    <xf numFmtId="0" fontId="31" fillId="6" borderId="64" xfId="0" applyFont="1" applyFill="1" applyBorder="1" applyAlignment="1">
      <alignment horizontal="center" vertical="top" wrapText="1"/>
    </xf>
    <xf numFmtId="0" fontId="28" fillId="6" borderId="29" xfId="0" applyFont="1" applyFill="1" applyBorder="1" applyAlignment="1">
      <alignment horizontal="center" vertical="top" wrapText="1"/>
    </xf>
    <xf numFmtId="0" fontId="31" fillId="6" borderId="55" xfId="0" applyFont="1" applyFill="1" applyBorder="1" applyAlignment="1">
      <alignment horizontal="center" vertical="top" wrapText="1"/>
    </xf>
    <xf numFmtId="0" fontId="49" fillId="0" borderId="57" xfId="0" applyFont="1" applyBorder="1" applyAlignment="1">
      <alignment vertical="top" wrapText="1"/>
    </xf>
    <xf numFmtId="0" fontId="49" fillId="0" borderId="57" xfId="0" applyFont="1" applyBorder="1" applyAlignment="1">
      <alignment horizontal="left" vertical="top"/>
    </xf>
    <xf numFmtId="0" fontId="30" fillId="6" borderId="85" xfId="0" applyFont="1" applyFill="1" applyBorder="1" applyAlignment="1">
      <alignment horizontal="center" vertical="top" wrapText="1"/>
    </xf>
    <xf numFmtId="0" fontId="30" fillId="6" borderId="88" xfId="0" applyFont="1" applyFill="1" applyBorder="1" applyAlignment="1">
      <alignment horizontal="center" vertical="top" wrapText="1"/>
    </xf>
    <xf numFmtId="0" fontId="30" fillId="6" borderId="86" xfId="0" applyFont="1" applyFill="1" applyBorder="1" applyAlignment="1">
      <alignment horizontal="center" vertical="top"/>
    </xf>
    <xf numFmtId="0" fontId="30" fillId="6" borderId="61" xfId="0" applyFont="1" applyFill="1" applyBorder="1" applyAlignment="1">
      <alignment horizontal="center" vertical="top"/>
    </xf>
    <xf numFmtId="0" fontId="28" fillId="6" borderId="27" xfId="0" applyFont="1" applyFill="1" applyBorder="1" applyAlignment="1">
      <alignment horizontal="center" vertical="top" wrapText="1"/>
    </xf>
    <xf numFmtId="0" fontId="0" fillId="0" borderId="27" xfId="0" applyBorder="1" applyAlignment="1">
      <alignment horizontal="center" vertical="top" wrapText="1"/>
    </xf>
    <xf numFmtId="0" fontId="0" fillId="0" borderId="67" xfId="0" applyBorder="1" applyAlignment="1">
      <alignment horizontal="center" vertical="top" wrapText="1"/>
    </xf>
    <xf numFmtId="0" fontId="0" fillId="0" borderId="64" xfId="0" applyBorder="1" applyAlignment="1">
      <alignment horizontal="center" vertical="top" wrapText="1"/>
    </xf>
    <xf numFmtId="0" fontId="0" fillId="3" borderId="83" xfId="0" applyFill="1" applyBorder="1" applyAlignment="1">
      <alignment horizontal="left" vertical="top" wrapText="1"/>
    </xf>
    <xf numFmtId="0" fontId="0" fillId="3" borderId="82" xfId="0" applyFill="1" applyBorder="1" applyAlignment="1">
      <alignment horizontal="left" vertical="top" wrapText="1"/>
    </xf>
    <xf numFmtId="0" fontId="0" fillId="3" borderId="76" xfId="0" applyFill="1" applyBorder="1" applyAlignment="1">
      <alignment horizontal="left" vertical="top" wrapText="1"/>
    </xf>
    <xf numFmtId="0" fontId="42" fillId="9" borderId="3" xfId="0" applyFont="1" applyFill="1" applyBorder="1" applyAlignment="1">
      <alignment horizontal="center" vertical="top" wrapText="1"/>
    </xf>
    <xf numFmtId="0" fontId="0" fillId="0" borderId="3" xfId="0" applyBorder="1" applyAlignment="1">
      <alignment horizontal="center" vertical="top" wrapText="1"/>
    </xf>
    <xf numFmtId="0" fontId="42" fillId="9" borderId="3" xfId="0" applyFont="1" applyFill="1" applyBorder="1" applyAlignment="1">
      <alignment horizontal="left" vertical="top" wrapText="1"/>
    </xf>
    <xf numFmtId="3" fontId="43" fillId="0" borderId="45" xfId="0" applyNumberFormat="1" applyFont="1" applyBorder="1" applyAlignment="1">
      <alignment horizontal="left" vertical="top" wrapText="1"/>
    </xf>
    <xf numFmtId="3" fontId="43" fillId="0" borderId="44" xfId="0" applyNumberFormat="1" applyFont="1" applyBorder="1" applyAlignment="1">
      <alignment horizontal="left" vertical="top" wrapText="1"/>
    </xf>
    <xf numFmtId="0" fontId="0" fillId="0" borderId="44" xfId="0" applyBorder="1" applyAlignment="1">
      <alignment vertical="top"/>
    </xf>
    <xf numFmtId="0" fontId="31" fillId="13" borderId="21" xfId="0" applyFont="1" applyFill="1" applyBorder="1" applyAlignment="1">
      <alignment horizontal="center" vertical="top" wrapText="1"/>
    </xf>
    <xf numFmtId="0" fontId="31" fillId="13" borderId="1" xfId="0" applyFont="1" applyFill="1" applyBorder="1" applyAlignment="1">
      <alignment horizontal="center" vertical="top" wrapText="1"/>
    </xf>
    <xf numFmtId="0" fontId="6" fillId="4" borderId="21" xfId="0" applyFont="1" applyFill="1" applyBorder="1" applyAlignment="1">
      <alignment horizontal="center" vertical="top" wrapText="1"/>
    </xf>
    <xf numFmtId="0" fontId="6" fillId="4" borderId="1" xfId="0" applyFont="1" applyFill="1" applyBorder="1" applyAlignment="1">
      <alignment horizontal="center" vertical="top" wrapText="1"/>
    </xf>
    <xf numFmtId="0" fontId="52" fillId="4" borderId="21" xfId="0" applyFont="1" applyFill="1" applyBorder="1" applyAlignment="1">
      <alignment horizontal="center" vertical="top" wrapText="1"/>
    </xf>
    <xf numFmtId="0" fontId="52" fillId="4" borderId="1" xfId="0" applyFont="1" applyFill="1" applyBorder="1" applyAlignment="1">
      <alignment horizontal="center" vertical="top" wrapText="1"/>
    </xf>
    <xf numFmtId="0" fontId="49" fillId="4" borderId="11" xfId="0" applyFont="1" applyFill="1" applyBorder="1" applyAlignment="1">
      <alignment horizontal="center" vertical="top" wrapText="1"/>
    </xf>
    <xf numFmtId="0" fontId="0" fillId="4" borderId="20" xfId="0" applyFill="1" applyBorder="1" applyAlignment="1">
      <alignment horizontal="center" vertical="top" wrapText="1"/>
    </xf>
    <xf numFmtId="0" fontId="0" fillId="4" borderId="19" xfId="0" applyFill="1" applyBorder="1" applyAlignment="1">
      <alignment horizontal="center" vertical="top" wrapText="1"/>
    </xf>
    <xf numFmtId="0" fontId="52" fillId="4" borderId="11" xfId="0" applyFont="1" applyFill="1" applyBorder="1" applyAlignment="1">
      <alignment horizontal="center" vertical="top" wrapText="1"/>
    </xf>
    <xf numFmtId="0" fontId="53" fillId="0" borderId="0" xfId="0" applyFont="1" applyAlignment="1">
      <alignment horizontal="left" vertical="top" wrapText="1"/>
    </xf>
    <xf numFmtId="0" fontId="54" fillId="0" borderId="0" xfId="0" applyFont="1" applyAlignment="1">
      <alignment horizontal="left" vertical="top" wrapText="1"/>
    </xf>
    <xf numFmtId="3" fontId="55" fillId="3" borderId="45" xfId="0" applyNumberFormat="1" applyFont="1" applyFill="1" applyBorder="1" applyAlignment="1">
      <alignment horizontal="center" vertical="top" wrapText="1"/>
    </xf>
    <xf numFmtId="0" fontId="0" fillId="0" borderId="44" xfId="0" applyBorder="1" applyAlignment="1">
      <alignment horizontal="center" vertical="top" wrapText="1"/>
    </xf>
    <xf numFmtId="0" fontId="0" fillId="0" borderId="80" xfId="0" applyBorder="1" applyAlignment="1">
      <alignment horizontal="center" vertical="top" wrapText="1"/>
    </xf>
    <xf numFmtId="0" fontId="0" fillId="0" borderId="81" xfId="0" applyBorder="1" applyAlignment="1">
      <alignment horizontal="center" vertical="top" wrapText="1"/>
    </xf>
    <xf numFmtId="0" fontId="0" fillId="0" borderId="82" xfId="0" applyBorder="1" applyAlignment="1">
      <alignment horizontal="center" vertical="top" wrapText="1"/>
    </xf>
    <xf numFmtId="0" fontId="0" fillId="0" borderId="2" xfId="0" applyBorder="1" applyAlignment="1">
      <alignment horizontal="center" vertical="top" wrapText="1"/>
    </xf>
    <xf numFmtId="0" fontId="0" fillId="0" borderId="22" xfId="0" applyBorder="1" applyAlignment="1">
      <alignment horizontal="center" vertical="top" wrapText="1"/>
    </xf>
    <xf numFmtId="0" fontId="0" fillId="0" borderId="75" xfId="0" applyBorder="1" applyAlignment="1">
      <alignment horizontal="center" vertical="top" wrapText="1"/>
    </xf>
    <xf numFmtId="0" fontId="19" fillId="11" borderId="1" xfId="4" applyFont="1" applyFill="1" applyBorder="1" applyAlignment="1" applyProtection="1">
      <alignment horizontal="left" vertical="top" wrapText="1"/>
      <protection locked="0"/>
    </xf>
    <xf numFmtId="0" fontId="0" fillId="0" borderId="0" xfId="0" applyFont="1"/>
  </cellXfs>
  <cellStyles count="6">
    <cellStyle name="Hea" xfId="1" builtinId="26"/>
    <cellStyle name="Hea 2" xfId="4" xr:uid="{24F6C3A4-4209-4111-BE6A-13F3982C702E}"/>
    <cellStyle name="Hyperlink" xfId="2" xr:uid="{AAC56D63-FDCD-42F0-8CE6-87F358A1B78D}"/>
    <cellStyle name="Koma 2" xfId="5" xr:uid="{811AC3EB-4C18-4F05-8A3D-EEABBBD289F9}"/>
    <cellStyle name="Normaallaad" xfId="0" builtinId="0"/>
    <cellStyle name="Normaallaad 2" xfId="3" xr:uid="{F5848E86-BEF5-40F6-B0A3-19CBAF209A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Eelarve täitmine 31.12.2023 liikide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'Ettekande arvutused'!$C$5</c:f>
              <c:strCache>
                <c:ptCount val="1"/>
                <c:pt idx="0">
                  <c:v>Eelarve​</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arvutused'!$B$7:$B$9</c:f>
              <c:strCache>
                <c:ptCount val="3"/>
                <c:pt idx="0">
                  <c:v>Riigieelarve​</c:v>
                </c:pt>
                <c:pt idx="1">
                  <c:v>Välistoetused​</c:v>
                </c:pt>
                <c:pt idx="2">
                  <c:v>Muud​</c:v>
                </c:pt>
              </c:strCache>
            </c:strRef>
          </c:cat>
          <c:val>
            <c:numRef>
              <c:f>'Ettekande arvutused'!$C$7:$C$9</c:f>
              <c:numCache>
                <c:formatCode>#,##0</c:formatCode>
                <c:ptCount val="3"/>
                <c:pt idx="0">
                  <c:v>10</c:v>
                </c:pt>
                <c:pt idx="1">
                  <c:v>15</c:v>
                </c:pt>
                <c:pt idx="2">
                  <c:v>20</c:v>
                </c:pt>
              </c:numCache>
            </c:numRef>
          </c:val>
          <c:extLst>
            <c:ext xmlns:c16="http://schemas.microsoft.com/office/drawing/2014/chart" uri="{C3380CC4-5D6E-409C-BE32-E72D297353CC}">
              <c16:uniqueId val="{00000000-0AB7-4595-B18C-B49384EC5222}"/>
            </c:ext>
          </c:extLst>
        </c:ser>
        <c:ser>
          <c:idx val="1"/>
          <c:order val="1"/>
          <c:tx>
            <c:strRef>
              <c:f>'Ettekande arvutused'!$D$5</c:f>
              <c:strCache>
                <c:ptCount val="1"/>
                <c:pt idx="0">
                  <c:v>Täitmine​</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arvutused'!$B$7:$B$9</c:f>
              <c:strCache>
                <c:ptCount val="3"/>
                <c:pt idx="0">
                  <c:v>Riigieelarve​</c:v>
                </c:pt>
                <c:pt idx="1">
                  <c:v>Välistoetused​</c:v>
                </c:pt>
                <c:pt idx="2">
                  <c:v>Muud​</c:v>
                </c:pt>
              </c:strCache>
            </c:strRef>
          </c:cat>
          <c:val>
            <c:numRef>
              <c:f>'Ettekande arvutused'!$D$7:$D$9</c:f>
              <c:numCache>
                <c:formatCode>#,##0</c:formatCode>
                <c:ptCount val="3"/>
                <c:pt idx="0">
                  <c:v>8</c:v>
                </c:pt>
                <c:pt idx="1">
                  <c:v>12</c:v>
                </c:pt>
                <c:pt idx="2">
                  <c:v>16</c:v>
                </c:pt>
              </c:numCache>
            </c:numRef>
          </c:val>
          <c:extLst>
            <c:ext xmlns:c16="http://schemas.microsoft.com/office/drawing/2014/chart" uri="{C3380CC4-5D6E-409C-BE32-E72D297353CC}">
              <c16:uniqueId val="{00000001-0AB7-4595-B18C-B49384EC5222}"/>
            </c:ext>
          </c:extLst>
        </c:ser>
        <c:dLbls>
          <c:showLegendKey val="0"/>
          <c:showVal val="0"/>
          <c:showCatName val="0"/>
          <c:showSerName val="0"/>
          <c:showPercent val="0"/>
          <c:showBubbleSize val="0"/>
        </c:dLbls>
        <c:gapWidth val="150"/>
        <c:shape val="box"/>
        <c:axId val="868255807"/>
        <c:axId val="1242469199"/>
        <c:axId val="0"/>
      </c:bar3DChart>
      <c:catAx>
        <c:axId val="868255807"/>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242469199"/>
        <c:crosses val="autoZero"/>
        <c:auto val="1"/>
        <c:lblAlgn val="ctr"/>
        <c:lblOffset val="100"/>
        <c:noMultiLvlLbl val="0"/>
      </c:catAx>
      <c:valAx>
        <c:axId val="12424691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682558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a:t>
            </a:r>
            <a:r>
              <a:rPr lang="et-EE"/>
              <a:t>elarve</a:t>
            </a:r>
            <a:r>
              <a:rPr lang="et-EE" baseline="0"/>
              <a:t> täitmine 31.12.2023 majandusliku sisu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'Ettekande arvutused'!$C$19</c:f>
              <c:strCache>
                <c:ptCount val="1"/>
                <c:pt idx="0">
                  <c:v>Eelarve​</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arvutused'!$B$21:$B$24</c:f>
              <c:strCache>
                <c:ptCount val="4"/>
                <c:pt idx="0">
                  <c:v>Investeeringud​</c:v>
                </c:pt>
                <c:pt idx="1">
                  <c:v>Tööjõukulud</c:v>
                </c:pt>
                <c:pt idx="2">
                  <c:v>​Majandamiskulud​</c:v>
                </c:pt>
                <c:pt idx="3">
                  <c:v>​Toetused ja muud</c:v>
                </c:pt>
              </c:strCache>
            </c:strRef>
          </c:cat>
          <c:val>
            <c:numRef>
              <c:f>'Ettekande arvutused'!$C$21:$C$24</c:f>
              <c:numCache>
                <c:formatCode>#,##0</c:formatCode>
                <c:ptCount val="4"/>
                <c:pt idx="0">
                  <c:v>12</c:v>
                </c:pt>
                <c:pt idx="1">
                  <c:v>10</c:v>
                </c:pt>
                <c:pt idx="2">
                  <c:v>15</c:v>
                </c:pt>
                <c:pt idx="3">
                  <c:v>8</c:v>
                </c:pt>
              </c:numCache>
            </c:numRef>
          </c:val>
          <c:extLst>
            <c:ext xmlns:c16="http://schemas.microsoft.com/office/drawing/2014/chart" uri="{C3380CC4-5D6E-409C-BE32-E72D297353CC}">
              <c16:uniqueId val="{00000000-4022-4775-9C6F-A9A7DDDADAE0}"/>
            </c:ext>
          </c:extLst>
        </c:ser>
        <c:ser>
          <c:idx val="1"/>
          <c:order val="1"/>
          <c:tx>
            <c:strRef>
              <c:f>'Ettekande arvutused'!$D$19</c:f>
              <c:strCache>
                <c:ptCount val="1"/>
                <c:pt idx="0">
                  <c:v>Täitmine​</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arvutused'!$B$21:$B$24</c:f>
              <c:strCache>
                <c:ptCount val="4"/>
                <c:pt idx="0">
                  <c:v>Investeeringud​</c:v>
                </c:pt>
                <c:pt idx="1">
                  <c:v>Tööjõukulud</c:v>
                </c:pt>
                <c:pt idx="2">
                  <c:v>​Majandamiskulud​</c:v>
                </c:pt>
                <c:pt idx="3">
                  <c:v>​Toetused ja muud</c:v>
                </c:pt>
              </c:strCache>
            </c:strRef>
          </c:cat>
          <c:val>
            <c:numRef>
              <c:f>'Ettekande arvutused'!$D$21:$D$24</c:f>
              <c:numCache>
                <c:formatCode>#,##0</c:formatCode>
                <c:ptCount val="4"/>
                <c:pt idx="0">
                  <c:v>11</c:v>
                </c:pt>
                <c:pt idx="1">
                  <c:v>10</c:v>
                </c:pt>
                <c:pt idx="2">
                  <c:v>13</c:v>
                </c:pt>
                <c:pt idx="3">
                  <c:v>6</c:v>
                </c:pt>
              </c:numCache>
            </c:numRef>
          </c:val>
          <c:extLst>
            <c:ext xmlns:c16="http://schemas.microsoft.com/office/drawing/2014/chart" uri="{C3380CC4-5D6E-409C-BE32-E72D297353CC}">
              <c16:uniqueId val="{00000001-4022-4775-9C6F-A9A7DDDADAE0}"/>
            </c:ext>
          </c:extLst>
        </c:ser>
        <c:dLbls>
          <c:showLegendKey val="0"/>
          <c:showVal val="0"/>
          <c:showCatName val="0"/>
          <c:showSerName val="0"/>
          <c:showPercent val="0"/>
          <c:showBubbleSize val="0"/>
        </c:dLbls>
        <c:gapWidth val="150"/>
        <c:shape val="box"/>
        <c:axId val="865280911"/>
        <c:axId val="1243496719"/>
        <c:axId val="0"/>
      </c:bar3DChart>
      <c:catAx>
        <c:axId val="86528091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243496719"/>
        <c:crosses val="autoZero"/>
        <c:auto val="1"/>
        <c:lblAlgn val="ctr"/>
        <c:lblOffset val="100"/>
        <c:noMultiLvlLbl val="0"/>
      </c:catAx>
      <c:valAx>
        <c:axId val="124349671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65280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arvutused'!$F$69:$H$69</c:f>
              <c:strCache>
                <c:ptCount val="1"/>
                <c:pt idx="0">
                  <c:v>Seisuga 01.01.2024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60C-4D65-9DCC-8A5B816E80E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60C-4D65-9DCC-8A5B816E80E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60C-4D65-9DCC-8A5B816E80E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60C-4D65-9DCC-8A5B816E80E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60C-4D65-9DCC-8A5B816E80E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2-3BCC-4562-8BFD-4178425FB4FD}"/>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60C-4D65-9DCC-8A5B816E80E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F60C-4D65-9DCC-8A5B816E80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F60C-4D65-9DCC-8A5B816E80E2}"/>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F60C-4D65-9DCC-8A5B816E80E2}"/>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F60C-4D65-9DCC-8A5B816E80E2}"/>
              </c:ext>
            </c:extLst>
          </c:dPt>
          <c:dLbls>
            <c:dLbl>
              <c:idx val="5"/>
              <c:layout>
                <c:manualLayout>
                  <c:x val="7.4844506879518546E-2"/>
                  <c:y val="-5.5307028296243811E-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3BCC-4562-8BFD-4178425FB4F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arvutused'!$B$72:$B$82</c:f>
              <c:strCache>
                <c:ptCount val="11"/>
                <c:pt idx="0">
                  <c:v>andmekorraldusanalüütik​</c:v>
                </c:pt>
                <c:pt idx="1">
                  <c:v>andmekvaliteedi kontrolli spetsialist​</c:v>
                </c:pt>
                <c:pt idx="2">
                  <c:v>andmelao arendaja​</c:v>
                </c:pt>
                <c:pt idx="3">
                  <c:v>jurist - ei ole kavas lähiajal täita​</c:v>
                </c:pt>
                <c:pt idx="4">
                  <c:v>projektijuht​</c:v>
                </c:pt>
                <c:pt idx="5">
                  <c:v>rakenduste administraator​</c:v>
                </c:pt>
                <c:pt idx="6">
                  <c:v>riskijuht​</c:v>
                </c:pt>
                <c:pt idx="7">
                  <c:v>süsteemiadministraator​</c:v>
                </c:pt>
                <c:pt idx="8">
                  <c:v>tarkvara arhitekt​</c:v>
                </c:pt>
                <c:pt idx="9">
                  <c:v>testija​</c:v>
                </c:pt>
                <c:pt idx="10">
                  <c:v>tooteomanik​</c:v>
                </c:pt>
              </c:strCache>
            </c:strRef>
          </c:cat>
          <c:val>
            <c:numRef>
              <c:f>'Ettekande arvutused'!$F$72:$F$82</c:f>
              <c:numCache>
                <c:formatCode>#,##0</c:formatCode>
                <c:ptCount val="11"/>
                <c:pt idx="0">
                  <c:v>2</c:v>
                </c:pt>
                <c:pt idx="1">
                  <c:v>5</c:v>
                </c:pt>
                <c:pt idx="2">
                  <c:v>2</c:v>
                </c:pt>
                <c:pt idx="3">
                  <c:v>2</c:v>
                </c:pt>
                <c:pt idx="4">
                  <c:v>4</c:v>
                </c:pt>
                <c:pt idx="5">
                  <c:v>0</c:v>
                </c:pt>
                <c:pt idx="6">
                  <c:v>2</c:v>
                </c:pt>
                <c:pt idx="7">
                  <c:v>2</c:v>
                </c:pt>
                <c:pt idx="8">
                  <c:v>1</c:v>
                </c:pt>
                <c:pt idx="9">
                  <c:v>5</c:v>
                </c:pt>
                <c:pt idx="10">
                  <c:v>3</c:v>
                </c:pt>
              </c:numCache>
            </c:numRef>
          </c:val>
          <c:extLst>
            <c:ext xmlns:c16="http://schemas.microsoft.com/office/drawing/2014/chart" uri="{C3380CC4-5D6E-409C-BE32-E72D297353CC}">
              <c16:uniqueId val="{00000000-3BCC-4562-8BFD-4178425FB4FD}"/>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7-F60C-4D65-9DCC-8A5B816E80E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9-F60C-4D65-9DCC-8A5B816E80E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B-F60C-4D65-9DCC-8A5B816E80E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D-F60C-4D65-9DCC-8A5B816E80E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F-F60C-4D65-9DCC-8A5B816E80E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1-F60C-4D65-9DCC-8A5B816E80E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3-F60C-4D65-9DCC-8A5B816E80E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5-F60C-4D65-9DCC-8A5B816E80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7-F60C-4D65-9DCC-8A5B816E80E2}"/>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9-F60C-4D65-9DCC-8A5B816E80E2}"/>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B-F60C-4D65-9DCC-8A5B816E80E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arvutused'!$B$72:$B$82</c:f>
              <c:strCache>
                <c:ptCount val="11"/>
                <c:pt idx="0">
                  <c:v>andmekorraldusanalüütik​</c:v>
                </c:pt>
                <c:pt idx="1">
                  <c:v>andmekvaliteedi kontrolli spetsialist​</c:v>
                </c:pt>
                <c:pt idx="2">
                  <c:v>andmelao arendaja​</c:v>
                </c:pt>
                <c:pt idx="3">
                  <c:v>jurist - ei ole kavas lähiajal täita​</c:v>
                </c:pt>
                <c:pt idx="4">
                  <c:v>projektijuht​</c:v>
                </c:pt>
                <c:pt idx="5">
                  <c:v>rakenduste administraator​</c:v>
                </c:pt>
                <c:pt idx="6">
                  <c:v>riskijuht​</c:v>
                </c:pt>
                <c:pt idx="7">
                  <c:v>süsteemiadministraator​</c:v>
                </c:pt>
                <c:pt idx="8">
                  <c:v>tarkvara arhitekt​</c:v>
                </c:pt>
                <c:pt idx="9">
                  <c:v>testija​</c:v>
                </c:pt>
                <c:pt idx="10">
                  <c:v>tooteomanik​</c:v>
                </c:pt>
              </c:strCache>
            </c:strRef>
          </c:cat>
          <c:val>
            <c:numRef>
              <c:f>'Ettekande arvutused'!$G$72:$G$82</c:f>
              <c:numCache>
                <c:formatCode>#,##0</c:formatCode>
                <c:ptCount val="11"/>
                <c:pt idx="0">
                  <c:v>1</c:v>
                </c:pt>
                <c:pt idx="1">
                  <c:v>0</c:v>
                </c:pt>
                <c:pt idx="2">
                  <c:v>8</c:v>
                </c:pt>
                <c:pt idx="3">
                  <c:v>2</c:v>
                </c:pt>
                <c:pt idx="4">
                  <c:v>2</c:v>
                </c:pt>
                <c:pt idx="5">
                  <c:v>0</c:v>
                </c:pt>
                <c:pt idx="6">
                  <c:v>0</c:v>
                </c:pt>
                <c:pt idx="7">
                  <c:v>1</c:v>
                </c:pt>
                <c:pt idx="8">
                  <c:v>0</c:v>
                </c:pt>
                <c:pt idx="9">
                  <c:v>2</c:v>
                </c:pt>
                <c:pt idx="10">
                  <c:v>1</c:v>
                </c:pt>
              </c:numCache>
            </c:numRef>
          </c:val>
          <c:extLst>
            <c:ext xmlns:c16="http://schemas.microsoft.com/office/drawing/2014/chart" uri="{C3380CC4-5D6E-409C-BE32-E72D297353CC}">
              <c16:uniqueId val="{00000001-3BCC-4562-8BFD-4178425FB4FD}"/>
            </c:ext>
          </c:extLst>
        </c:ser>
        <c:dLbls>
          <c:showLegendKey val="0"/>
          <c:showVal val="1"/>
          <c:showCatName val="1"/>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a:t>
            </a:r>
            <a:r>
              <a:rPr lang="et-EE"/>
              <a:t>024 eelarve liikide lõikes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993-41AF-839E-02F35F62BF0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993-41AF-839E-02F35F62BF0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1993-41AF-839E-02F35F62BF0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arvutused'!$B$37:$B$39</c:f>
              <c:strCache>
                <c:ptCount val="3"/>
                <c:pt idx="0">
                  <c:v>Riigieelarve​</c:v>
                </c:pt>
                <c:pt idx="1">
                  <c:v>Välistoetused​</c:v>
                </c:pt>
                <c:pt idx="2">
                  <c:v>Muud​</c:v>
                </c:pt>
              </c:strCache>
            </c:strRef>
          </c:cat>
          <c:val>
            <c:numRef>
              <c:f>'Ettekande arvutused'!$C$37:$C$39</c:f>
              <c:numCache>
                <c:formatCode>#,##0</c:formatCode>
                <c:ptCount val="3"/>
                <c:pt idx="0">
                  <c:v>20</c:v>
                </c:pt>
                <c:pt idx="1">
                  <c:v>15</c:v>
                </c:pt>
                <c:pt idx="2">
                  <c:v>12</c:v>
                </c:pt>
              </c:numCache>
            </c:numRef>
          </c:val>
          <c:extLst>
            <c:ext xmlns:c16="http://schemas.microsoft.com/office/drawing/2014/chart" uri="{C3380CC4-5D6E-409C-BE32-E72D297353CC}">
              <c16:uniqueId val="{00000000-856C-4832-863A-D668F99D481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2024 eelarve majandusliku sisu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DC19-42A9-8CDF-B6B37E0096C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DC19-42A9-8CDF-B6B37E0096C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C19-42A9-8CDF-B6B37E0096C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C19-42A9-8CDF-B6B37E0096C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arvutused'!$B$43:$B$46</c:f>
              <c:strCache>
                <c:ptCount val="4"/>
                <c:pt idx="0">
                  <c:v>Investeeringud​</c:v>
                </c:pt>
                <c:pt idx="1">
                  <c:v>Tööjõukulud</c:v>
                </c:pt>
                <c:pt idx="2">
                  <c:v>​Majandamiskulud​</c:v>
                </c:pt>
                <c:pt idx="3">
                  <c:v>​Toetused ja muud</c:v>
                </c:pt>
              </c:strCache>
            </c:strRef>
          </c:cat>
          <c:val>
            <c:numRef>
              <c:f>'Ettekande arvutused'!$C$43:$C$46</c:f>
              <c:numCache>
                <c:formatCode>#,##0</c:formatCode>
                <c:ptCount val="4"/>
                <c:pt idx="0">
                  <c:v>13</c:v>
                </c:pt>
                <c:pt idx="1">
                  <c:v>11</c:v>
                </c:pt>
                <c:pt idx="2">
                  <c:v>15</c:v>
                </c:pt>
                <c:pt idx="3">
                  <c:v>8</c:v>
                </c:pt>
              </c:numCache>
            </c:numRef>
          </c:val>
          <c:extLst>
            <c:ext xmlns:c16="http://schemas.microsoft.com/office/drawing/2014/chart" uri="{C3380CC4-5D6E-409C-BE32-E72D297353CC}">
              <c16:uniqueId val="{00000000-F923-4FEF-8CE1-81C93C7E4E9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arvutused'!$C$69:$E$69</c:f>
              <c:strCache>
                <c:ptCount val="3"/>
                <c:pt idx="0">
                  <c:v>Seisuga 01.01.2023</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8E8A-4E92-8B8C-A6FB375009B5}"/>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8E8A-4E92-8B8C-A6FB375009B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t-EE"/>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'Ettekande arvutused'!$C$70:$E$70</c15:sqref>
                  </c15:fullRef>
                </c:ext>
              </c:extLst>
              <c:f>'Ettekande arvutused'!$C$70:$D$70</c:f>
              <c:strCache>
                <c:ptCount val="2"/>
                <c:pt idx="0">
                  <c:v>Täidetud/olemas</c:v>
                </c:pt>
                <c:pt idx="1">
                  <c:v>Täitmata</c:v>
                </c:pt>
              </c:strCache>
            </c:strRef>
          </c:cat>
          <c:val>
            <c:numRef>
              <c:extLst>
                <c:ext xmlns:c15="http://schemas.microsoft.com/office/drawing/2012/chart" uri="{02D57815-91ED-43cb-92C2-25804820EDAC}">
                  <c15:fullRef>
                    <c15:sqref>'Ettekande arvutused'!$C$71:$E$71</c15:sqref>
                  </c15:fullRef>
                </c:ext>
              </c:extLst>
              <c:f>'Ettekande arvutused'!$C$71:$D$71</c:f>
              <c:numCache>
                <c:formatCode>#,##0</c:formatCode>
                <c:ptCount val="2"/>
                <c:pt idx="0">
                  <c:v>26</c:v>
                </c:pt>
                <c:pt idx="1">
                  <c:v>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1AAB-4C5A-9881-1B077BF83206}"/>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arvutused'!$F$69:$H$69</c:f>
              <c:strCache>
                <c:ptCount val="3"/>
                <c:pt idx="0">
                  <c:v>Seisuga 01.01.2024</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2B31-4DE8-BD80-630474D6A997}"/>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2B31-4DE8-BD80-630474D6A997}"/>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EE27-44FD-8A89-6F5DD8AA7BC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t-EE"/>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arvutused'!$F$70:$H$70</c:f>
              <c:strCache>
                <c:ptCount val="3"/>
                <c:pt idx="0">
                  <c:v>Täidetud/olemas</c:v>
                </c:pt>
                <c:pt idx="1">
                  <c:v>Täitmata</c:v>
                </c:pt>
                <c:pt idx="2">
                  <c:v>Kokku</c:v>
                </c:pt>
              </c:strCache>
            </c:strRef>
          </c:cat>
          <c:val>
            <c:numRef>
              <c:f>'Ettekande arvutused'!$F$71:$H$71</c:f>
              <c:numCache>
                <c:formatCode>#,##0</c:formatCode>
                <c:ptCount val="3"/>
                <c:pt idx="0">
                  <c:v>28</c:v>
                </c:pt>
                <c:pt idx="1">
                  <c:v>17</c:v>
                </c:pt>
                <c:pt idx="2">
                  <c:v>45</c:v>
                </c:pt>
              </c:numCache>
            </c:numRef>
          </c:val>
          <c:extLst>
            <c:ext xmlns:c16="http://schemas.microsoft.com/office/drawing/2014/chart" uri="{C3380CC4-5D6E-409C-BE32-E72D297353CC}">
              <c16:uniqueId val="{00000000-B455-4409-8EF0-D02F2F3C373F}"/>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Personali</a:t>
            </a:r>
            <a:r>
              <a:rPr lang="et-EE" baseline="0"/>
              <a:t> muutus</a:t>
            </a:r>
            <a:endParaRPr lang="et-E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'Ettekande arvutused'!$C$52:$I$52</c:f>
              <c:strCache>
                <c:ptCount val="7"/>
                <c:pt idx="0">
                  <c:v>01.01.2021</c:v>
                </c:pt>
                <c:pt idx="1">
                  <c:v>01.01.2022</c:v>
                </c:pt>
                <c:pt idx="2">
                  <c:v>01.01.2023</c:v>
                </c:pt>
                <c:pt idx="3">
                  <c:v>01.01.2024</c:v>
                </c:pt>
                <c:pt idx="4">
                  <c:v>01.01.2025*​</c:v>
                </c:pt>
                <c:pt idx="5">
                  <c:v>01.01.2026*​</c:v>
                </c:pt>
                <c:pt idx="6">
                  <c:v>01.01.2027*​</c:v>
                </c:pt>
              </c:strCache>
            </c:strRef>
          </c:cat>
          <c:val>
            <c:numRef>
              <c:f>'Ettekande arvutused'!$C$53:$I$53</c:f>
              <c:numCache>
                <c:formatCode>#,##0</c:formatCode>
                <c:ptCount val="7"/>
                <c:pt idx="0">
                  <c:v>121</c:v>
                </c:pt>
                <c:pt idx="1">
                  <c:v>125</c:v>
                </c:pt>
                <c:pt idx="2">
                  <c:v>129</c:v>
                </c:pt>
                <c:pt idx="3">
                  <c:v>140</c:v>
                </c:pt>
                <c:pt idx="4">
                  <c:v>144</c:v>
                </c:pt>
                <c:pt idx="5">
                  <c:v>149</c:v>
                </c:pt>
                <c:pt idx="6">
                  <c:v>155</c:v>
                </c:pt>
              </c:numCache>
            </c:numRef>
          </c:val>
          <c:smooth val="0"/>
          <c:extLst>
            <c:ext xmlns:c16="http://schemas.microsoft.com/office/drawing/2014/chart" uri="{C3380CC4-5D6E-409C-BE32-E72D297353CC}">
              <c16:uniqueId val="{00000000-7C94-46C8-9181-4BB478076098}"/>
            </c:ext>
          </c:extLst>
        </c:ser>
        <c:dLbls>
          <c:showLegendKey val="0"/>
          <c:showVal val="0"/>
          <c:showCatName val="0"/>
          <c:showSerName val="0"/>
          <c:showPercent val="0"/>
          <c:showBubbleSize val="0"/>
        </c:dLbls>
        <c:marker val="1"/>
        <c:smooth val="0"/>
        <c:axId val="2014720464"/>
        <c:axId val="337308592"/>
      </c:lineChart>
      <c:lineChart>
        <c:grouping val="stacked"/>
        <c:varyColors val="0"/>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'Ettekande arvutused'!$C$52:$I$52</c:f>
              <c:strCache>
                <c:ptCount val="7"/>
                <c:pt idx="0">
                  <c:v>01.01.2021</c:v>
                </c:pt>
                <c:pt idx="1">
                  <c:v>01.01.2022</c:v>
                </c:pt>
                <c:pt idx="2">
                  <c:v>01.01.2023</c:v>
                </c:pt>
                <c:pt idx="3">
                  <c:v>01.01.2024</c:v>
                </c:pt>
                <c:pt idx="4">
                  <c:v>01.01.2025*​</c:v>
                </c:pt>
                <c:pt idx="5">
                  <c:v>01.01.2026*​</c:v>
                </c:pt>
                <c:pt idx="6">
                  <c:v>01.01.2027*​</c:v>
                </c:pt>
              </c:strCache>
            </c:strRef>
          </c:cat>
          <c:val>
            <c:numRef>
              <c:f>'Ettekande arvutused'!$C$54:$I$54</c:f>
              <c:numCache>
                <c:formatCode>0.0</c:formatCode>
                <c:ptCount val="7"/>
                <c:pt idx="0" formatCode="#,##0">
                  <c:v>0</c:v>
                </c:pt>
                <c:pt idx="1">
                  <c:v>3.3057851239669276</c:v>
                </c:pt>
                <c:pt idx="2">
                  <c:v>3.2000000000000028</c:v>
                </c:pt>
                <c:pt idx="3">
                  <c:v>8.5271317829457303</c:v>
                </c:pt>
                <c:pt idx="4">
                  <c:v>2.857142857142847</c:v>
                </c:pt>
                <c:pt idx="5">
                  <c:v>3.4722222222222285</c:v>
                </c:pt>
                <c:pt idx="6">
                  <c:v>4.0268456375838895</c:v>
                </c:pt>
              </c:numCache>
            </c:numRef>
          </c:val>
          <c:smooth val="0"/>
          <c:extLst>
            <c:ext xmlns:c16="http://schemas.microsoft.com/office/drawing/2014/chart" uri="{C3380CC4-5D6E-409C-BE32-E72D297353CC}">
              <c16:uniqueId val="{00000002-7C94-46C8-9181-4BB478076098}"/>
            </c:ext>
          </c:extLst>
        </c:ser>
        <c:dLbls>
          <c:showLegendKey val="0"/>
          <c:showVal val="0"/>
          <c:showCatName val="0"/>
          <c:showSerName val="0"/>
          <c:showPercent val="0"/>
          <c:showBubbleSize val="0"/>
        </c:dLbls>
        <c:marker val="1"/>
        <c:smooth val="0"/>
        <c:axId val="309844304"/>
        <c:axId val="2118284000"/>
      </c:lineChart>
      <c:dateAx>
        <c:axId val="2014720464"/>
        <c:scaling>
          <c:orientation val="minMax"/>
        </c:scaling>
        <c:delete val="0"/>
        <c:axPos val="t"/>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337308592"/>
        <c:crosses val="max"/>
        <c:auto val="0"/>
        <c:lblOffset val="100"/>
        <c:baseTimeUnit val="days"/>
      </c:dateAx>
      <c:valAx>
        <c:axId val="337308592"/>
        <c:scaling>
          <c:orientation val="minMax"/>
          <c:min val="100"/>
        </c:scaling>
        <c:delete val="0"/>
        <c:axPos val="r"/>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014720464"/>
        <c:crosses val="max"/>
        <c:crossBetween val="between"/>
      </c:valAx>
      <c:valAx>
        <c:axId val="2118284000"/>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309844304"/>
        <c:crosses val="autoZero"/>
        <c:crossBetween val="between"/>
      </c:valAx>
      <c:catAx>
        <c:axId val="309844304"/>
        <c:scaling>
          <c:orientation val="minMax"/>
        </c:scaling>
        <c:delete val="1"/>
        <c:axPos val="b"/>
        <c:numFmt formatCode="General" sourceLinked="1"/>
        <c:majorTickMark val="out"/>
        <c:minorTickMark val="none"/>
        <c:tickLblPos val="nextTo"/>
        <c:crossAx val="211828400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t-E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358775</xdr:colOff>
      <xdr:row>0</xdr:row>
      <xdr:rowOff>19050</xdr:rowOff>
    </xdr:from>
    <xdr:to>
      <xdr:col>11</xdr:col>
      <xdr:colOff>625475</xdr:colOff>
      <xdr:row>14</xdr:row>
      <xdr:rowOff>0</xdr:rowOff>
    </xdr:to>
    <xdr:graphicFrame macro="">
      <xdr:nvGraphicFramePr>
        <xdr:cNvPr id="5" name="Diagramm 3">
          <a:extLst>
            <a:ext uri="{FF2B5EF4-FFF2-40B4-BE49-F238E27FC236}">
              <a16:creationId xmlns:a16="http://schemas.microsoft.com/office/drawing/2014/main" id="{DBAA80F2-6E24-E61C-9717-1BC3ED7024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346075</xdr:colOff>
      <xdr:row>16</xdr:row>
      <xdr:rowOff>82550</xdr:rowOff>
    </xdr:from>
    <xdr:to>
      <xdr:col>11</xdr:col>
      <xdr:colOff>612775</xdr:colOff>
      <xdr:row>33</xdr:row>
      <xdr:rowOff>88900</xdr:rowOff>
    </xdr:to>
    <xdr:graphicFrame macro="">
      <xdr:nvGraphicFramePr>
        <xdr:cNvPr id="14" name="Diagramm 7">
          <a:extLst>
            <a:ext uri="{FF2B5EF4-FFF2-40B4-BE49-F238E27FC236}">
              <a16:creationId xmlns:a16="http://schemas.microsoft.com/office/drawing/2014/main" id="{5F4ED4C2-8C86-454F-3D38-8C07F277E1FC}"/>
            </a:ext>
            <a:ext uri="{147F2762-F138-4A5C-976F-8EAC2B608ADB}">
              <a16:predDERef xmlns:a16="http://schemas.microsoft.com/office/drawing/2014/main" pred="{DBAA80F2-6E24-E61C-9717-1BC3ED7024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484514</xdr:colOff>
      <xdr:row>67</xdr:row>
      <xdr:rowOff>16902</xdr:rowOff>
    </xdr:from>
    <xdr:to>
      <xdr:col>24</xdr:col>
      <xdr:colOff>150346</xdr:colOff>
      <xdr:row>86</xdr:row>
      <xdr:rowOff>28015</xdr:rowOff>
    </xdr:to>
    <xdr:graphicFrame macro="">
      <xdr:nvGraphicFramePr>
        <xdr:cNvPr id="15" name="Diagramm 14">
          <a:extLst>
            <a:ext uri="{FF2B5EF4-FFF2-40B4-BE49-F238E27FC236}">
              <a16:creationId xmlns:a16="http://schemas.microsoft.com/office/drawing/2014/main" id="{EE32334B-59B3-108D-8187-8709409272C0}"/>
            </a:ext>
            <a:ext uri="{147F2762-F138-4A5C-976F-8EAC2B608ADB}">
              <a16:predDERef xmlns:a16="http://schemas.microsoft.com/office/drawing/2014/main" pred="{5F4ED4C2-8C86-454F-3D38-8C07F277E1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873125</xdr:colOff>
      <xdr:row>33</xdr:row>
      <xdr:rowOff>171450</xdr:rowOff>
    </xdr:from>
    <xdr:to>
      <xdr:col>8</xdr:col>
      <xdr:colOff>98425</xdr:colOff>
      <xdr:row>48</xdr:row>
      <xdr:rowOff>152400</xdr:rowOff>
    </xdr:to>
    <xdr:graphicFrame macro="">
      <xdr:nvGraphicFramePr>
        <xdr:cNvPr id="48" name="Diagramm 22">
          <a:extLst>
            <a:ext uri="{FF2B5EF4-FFF2-40B4-BE49-F238E27FC236}">
              <a16:creationId xmlns:a16="http://schemas.microsoft.com/office/drawing/2014/main" id="{CCB4ECD8-DA37-3188-BF54-C7148E6D24D5}"/>
            </a:ext>
            <a:ext uri="{147F2762-F138-4A5C-976F-8EAC2B608ADB}">
              <a16:predDERef xmlns:a16="http://schemas.microsoft.com/office/drawing/2014/main" pred="{EE32334B-59B3-108D-8187-8709409272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415925</xdr:colOff>
      <xdr:row>34</xdr:row>
      <xdr:rowOff>0</xdr:rowOff>
    </xdr:from>
    <xdr:to>
      <xdr:col>14</xdr:col>
      <xdr:colOff>314325</xdr:colOff>
      <xdr:row>48</xdr:row>
      <xdr:rowOff>165100</xdr:rowOff>
    </xdr:to>
    <xdr:graphicFrame macro="">
      <xdr:nvGraphicFramePr>
        <xdr:cNvPr id="52" name="Diagramm 32">
          <a:extLst>
            <a:ext uri="{FF2B5EF4-FFF2-40B4-BE49-F238E27FC236}">
              <a16:creationId xmlns:a16="http://schemas.microsoft.com/office/drawing/2014/main" id="{0C5C436E-3F8F-A287-5820-A92134A18667}"/>
            </a:ext>
            <a:ext uri="{147F2762-F138-4A5C-976F-8EAC2B608ADB}">
              <a16:predDERef xmlns:a16="http://schemas.microsoft.com/office/drawing/2014/main" pred="{CCB4ECD8-DA37-3188-BF54-C7148E6D24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162718</xdr:colOff>
      <xdr:row>67</xdr:row>
      <xdr:rowOff>17463</xdr:rowOff>
    </xdr:from>
    <xdr:to>
      <xdr:col>14</xdr:col>
      <xdr:colOff>281780</xdr:colOff>
      <xdr:row>80</xdr:row>
      <xdr:rowOff>14288</xdr:rowOff>
    </xdr:to>
    <xdr:graphicFrame macro="">
      <xdr:nvGraphicFramePr>
        <xdr:cNvPr id="53" name="Diagramm 52">
          <a:extLst>
            <a:ext uri="{FF2B5EF4-FFF2-40B4-BE49-F238E27FC236}">
              <a16:creationId xmlns:a16="http://schemas.microsoft.com/office/drawing/2014/main" id="{C894379D-33D6-EDF2-0B10-4BE4CB9157D7}"/>
            </a:ext>
            <a:ext uri="{147F2762-F138-4A5C-976F-8EAC2B608ADB}">
              <a16:predDERef xmlns:a16="http://schemas.microsoft.com/office/drawing/2014/main" pred="{0C5C436E-3F8F-A287-5820-A92134A186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138906</xdr:colOff>
      <xdr:row>80</xdr:row>
      <xdr:rowOff>17463</xdr:rowOff>
    </xdr:from>
    <xdr:to>
      <xdr:col>14</xdr:col>
      <xdr:colOff>257968</xdr:colOff>
      <xdr:row>94</xdr:row>
      <xdr:rowOff>93663</xdr:rowOff>
    </xdr:to>
    <xdr:graphicFrame macro="">
      <xdr:nvGraphicFramePr>
        <xdr:cNvPr id="54" name="Diagramm 53">
          <a:extLst>
            <a:ext uri="{FF2B5EF4-FFF2-40B4-BE49-F238E27FC236}">
              <a16:creationId xmlns:a16="http://schemas.microsoft.com/office/drawing/2014/main" id="{44F29917-E5F4-89B1-53D5-3300DF5508F8}"/>
            </a:ext>
            <a:ext uri="{147F2762-F138-4A5C-976F-8EAC2B608ADB}">
              <a16:predDERef xmlns:a16="http://schemas.microsoft.com/office/drawing/2014/main" pred="{C894379D-33D6-EDF2-0B10-4BE4CB9157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263898</xdr:colOff>
      <xdr:row>49</xdr:row>
      <xdr:rowOff>46880</xdr:rowOff>
    </xdr:from>
    <xdr:to>
      <xdr:col>16</xdr:col>
      <xdr:colOff>189940</xdr:colOff>
      <xdr:row>64</xdr:row>
      <xdr:rowOff>11206</xdr:rowOff>
    </xdr:to>
    <xdr:graphicFrame macro="">
      <xdr:nvGraphicFramePr>
        <xdr:cNvPr id="76" name="Diagramm 72">
          <a:extLst>
            <a:ext uri="{FF2B5EF4-FFF2-40B4-BE49-F238E27FC236}">
              <a16:creationId xmlns:a16="http://schemas.microsoft.com/office/drawing/2014/main" id="{A6BBD827-C39E-1944-0ACB-5EB6429C12CF}"/>
            </a:ext>
            <a:ext uri="{147F2762-F138-4A5C-976F-8EAC2B608ADB}">
              <a16:predDERef xmlns:a16="http://schemas.microsoft.com/office/drawing/2014/main" pred="{44F29917-E5F4-89B1-53D5-3300DF5508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35717</xdr:colOff>
      <xdr:row>1</xdr:row>
      <xdr:rowOff>34020</xdr:rowOff>
    </xdr:from>
    <xdr:to>
      <xdr:col>19</xdr:col>
      <xdr:colOff>264583</xdr:colOff>
      <xdr:row>26</xdr:row>
      <xdr:rowOff>116417</xdr:rowOff>
    </xdr:to>
    <xdr:sp macro="" textlink="">
      <xdr:nvSpPr>
        <xdr:cNvPr id="3" name="TextBox 1">
          <a:extLst>
            <a:ext uri="{FF2B5EF4-FFF2-40B4-BE49-F238E27FC236}">
              <a16:creationId xmlns:a16="http://schemas.microsoft.com/office/drawing/2014/main" id="{B1CA354E-2F19-4F35-8BCB-C842603578C6}"/>
            </a:ext>
          </a:extLst>
        </xdr:cNvPr>
        <xdr:cNvSpPr txBox="1"/>
      </xdr:nvSpPr>
      <xdr:spPr>
        <a:xfrm>
          <a:off x="35717" y="201660"/>
          <a:ext cx="19088366" cy="4273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t-EE" sz="1400" b="1" u="sng">
              <a:solidFill>
                <a:schemeClr val="dk1"/>
              </a:solidFill>
              <a:effectLst/>
              <a:latin typeface="Times New Roman" panose="02020603050405020304" pitchFamily="18" charset="0"/>
              <a:ea typeface="+mn-ea"/>
              <a:cs typeface="Times New Roman" panose="02020603050405020304" pitchFamily="18" charset="0"/>
            </a:rPr>
            <a:t>JUHEND</a:t>
          </a:r>
        </a:p>
        <a:p>
          <a:endParaRPr lang="et-EE" sz="1400" b="1">
            <a:solidFill>
              <a:schemeClr val="dk1"/>
            </a:solidFill>
            <a:effectLst/>
            <a:latin typeface="Times New Roman" panose="02020603050405020304" pitchFamily="18" charset="0"/>
            <a:ea typeface="+mn-ea"/>
            <a:cs typeface="Times New Roman" panose="02020603050405020304" pitchFamily="18" charset="0"/>
          </a:endParaRPr>
        </a:p>
        <a:p>
          <a:r>
            <a:rPr lang="et-EE" sz="1400" b="1">
              <a:solidFill>
                <a:schemeClr val="dk1"/>
              </a:solidFill>
              <a:effectLst/>
              <a:latin typeface="Times New Roman" panose="02020603050405020304" pitchFamily="18" charset="0"/>
              <a:ea typeface="+mn-ea"/>
              <a:cs typeface="Times New Roman" panose="02020603050405020304" pitchFamily="18" charset="0"/>
            </a:rPr>
            <a:t>Õigusaktidest tulenevad</a:t>
          </a:r>
          <a:r>
            <a:rPr lang="et-EE" sz="1400" b="1" baseline="0">
              <a:solidFill>
                <a:schemeClr val="dk1"/>
              </a:solidFill>
              <a:effectLst/>
              <a:latin typeface="Times New Roman" panose="02020603050405020304" pitchFamily="18" charset="0"/>
              <a:ea typeface="+mn-ea"/>
              <a:cs typeface="Times New Roman" panose="02020603050405020304" pitchFamily="18" charset="0"/>
            </a:rPr>
            <a:t> lisataotlused: </a:t>
          </a:r>
        </a:p>
        <a:p>
          <a:endParaRPr lang="et-EE" sz="1400" b="1" baseline="0">
            <a:solidFill>
              <a:schemeClr val="dk1"/>
            </a:solidFill>
            <a:effectLst/>
            <a:latin typeface="Times New Roman" panose="02020603050405020304" pitchFamily="18" charset="0"/>
            <a:ea typeface="+mn-ea"/>
            <a:cs typeface="Times New Roman" panose="02020603050405020304" pitchFamily="18" charset="0"/>
          </a:endParaRPr>
        </a:p>
        <a:p>
          <a:r>
            <a:rPr lang="et-EE" sz="1400" b="1" baseline="0">
              <a:solidFill>
                <a:schemeClr val="dk1"/>
              </a:solidFill>
              <a:effectLst/>
              <a:latin typeface="Times New Roman" panose="02020603050405020304" pitchFamily="18" charset="0"/>
              <a:ea typeface="+mn-ea"/>
              <a:cs typeface="Times New Roman" panose="02020603050405020304" pitchFamily="18" charset="0"/>
            </a:rPr>
            <a:t>* </a:t>
          </a:r>
          <a:r>
            <a:rPr lang="et-EE" sz="1400" u="none" baseline="0">
              <a:solidFill>
                <a:schemeClr val="dk1"/>
              </a:solidFill>
              <a:effectLst/>
              <a:latin typeface="Times New Roman" panose="02020603050405020304" pitchFamily="18" charset="0"/>
              <a:ea typeface="+mn-ea"/>
              <a:cs typeface="Times New Roman" panose="02020603050405020304" pitchFamily="18" charset="0"/>
            </a:rPr>
            <a:t>E</a:t>
          </a:r>
          <a:r>
            <a:rPr lang="et-EE" sz="1400" u="none">
              <a:solidFill>
                <a:schemeClr val="dk1"/>
              </a:solidFill>
              <a:effectLst/>
              <a:latin typeface="Times New Roman" panose="02020603050405020304" pitchFamily="18" charset="0"/>
              <a:ea typeface="+mn-ea"/>
              <a:cs typeface="Times New Roman" panose="02020603050405020304" pitchFamily="18" charset="0"/>
            </a:rPr>
            <a:t>elmise aasta RES/RE protsessi</a:t>
          </a:r>
          <a:r>
            <a:rPr lang="et-EE" sz="1400" u="none" baseline="0">
              <a:solidFill>
                <a:schemeClr val="dk1"/>
              </a:solidFill>
              <a:effectLst/>
              <a:latin typeface="Times New Roman" panose="02020603050405020304" pitchFamily="18" charset="0"/>
              <a:ea typeface="+mn-ea"/>
              <a:cs typeface="Times New Roman" panose="02020603050405020304" pitchFamily="18" charset="0"/>
            </a:rPr>
            <a:t> (alates 27.09.2023)</a:t>
          </a:r>
          <a:r>
            <a:rPr lang="et-EE" sz="1400" u="none">
              <a:solidFill>
                <a:schemeClr val="dk1"/>
              </a:solidFill>
              <a:effectLst/>
              <a:latin typeface="Times New Roman" panose="02020603050405020304" pitchFamily="18" charset="0"/>
              <a:ea typeface="+mn-ea"/>
              <a:cs typeface="Times New Roman" panose="02020603050405020304" pitchFamily="18" charset="0"/>
            </a:rPr>
            <a:t> järgselt</a:t>
          </a:r>
          <a:r>
            <a:rPr lang="et-EE" sz="1400" u="none">
              <a:solidFill>
                <a:srgbClr val="FF0000"/>
              </a:solidFill>
              <a:effectLst/>
              <a:latin typeface="Times New Roman" panose="02020603050405020304" pitchFamily="18" charset="0"/>
              <a:ea typeface="+mn-ea"/>
              <a:cs typeface="Times New Roman" panose="02020603050405020304" pitchFamily="18" charset="0"/>
            </a:rPr>
            <a:t> </a:t>
          </a:r>
          <a:r>
            <a:rPr lang="et-EE" sz="1400" u="none">
              <a:solidFill>
                <a:sysClr val="windowText" lastClr="000000"/>
              </a:solidFill>
              <a:effectLst/>
              <a:latin typeface="Times New Roman" panose="02020603050405020304" pitchFamily="18" charset="0"/>
              <a:ea typeface="+mn-ea"/>
              <a:cs typeface="Times New Roman" panose="02020603050405020304" pitchFamily="18" charset="0"/>
            </a:rPr>
            <a:t>vastu võetud ja jõustuvad </a:t>
          </a:r>
          <a:r>
            <a:rPr lang="et-EE" sz="1400" u="none">
              <a:solidFill>
                <a:schemeClr val="dk1"/>
              </a:solidFill>
              <a:effectLst/>
              <a:latin typeface="Times New Roman" panose="02020603050405020304" pitchFamily="18" charset="0"/>
              <a:ea typeface="+mn-ea"/>
              <a:cs typeface="Times New Roman" panose="02020603050405020304" pitchFamily="18" charset="0"/>
            </a:rPr>
            <a:t>õigusaktid </a:t>
          </a:r>
          <a:r>
            <a:rPr lang="et-EE" sz="1400">
              <a:solidFill>
                <a:schemeClr val="dk1"/>
              </a:solidFill>
              <a:effectLst/>
              <a:latin typeface="Times New Roman" panose="02020603050405020304" pitchFamily="18" charset="0"/>
              <a:ea typeface="+mn-ea"/>
              <a:cs typeface="Times New Roman" panose="02020603050405020304" pitchFamily="18" charset="0"/>
            </a:rPr>
            <a:t>(ka EL õigusaktid), millest tekivad asutusele täiendavad kohustused ja millega kaasnevad lisakulud või –</a:t>
          </a:r>
          <a:r>
            <a:rPr lang="et-EE" sz="1400">
              <a:solidFill>
                <a:schemeClr val="tx1"/>
              </a:solidFill>
              <a:effectLst/>
              <a:latin typeface="Times New Roman" panose="02020603050405020304" pitchFamily="18" charset="0"/>
              <a:ea typeface="+mn-ea"/>
              <a:cs typeface="Times New Roman" panose="02020603050405020304" pitchFamily="18" charset="0"/>
            </a:rPr>
            <a:t>investeeringud, mille puhul on seaduse seletuskirjas katteallikana välja toodud täiendav rahastamine eelarve protsessis. </a:t>
          </a:r>
          <a:r>
            <a:rPr lang="et-EE" sz="1400">
              <a:solidFill>
                <a:schemeClr val="dk1"/>
              </a:solidFill>
              <a:effectLst/>
              <a:latin typeface="Times New Roman" panose="02020603050405020304" pitchFamily="18" charset="0"/>
              <a:ea typeface="+mn-ea"/>
              <a:cs typeface="Times New Roman" panose="02020603050405020304" pitchFamily="18" charset="0"/>
            </a:rPr>
            <a:t>Valitsemisala</a:t>
          </a:r>
          <a:r>
            <a:rPr lang="et-EE" sz="1400" baseline="0">
              <a:solidFill>
                <a:schemeClr val="dk1"/>
              </a:solidFill>
              <a:effectLst/>
              <a:latin typeface="Times New Roman" panose="02020603050405020304" pitchFamily="18" charset="0"/>
              <a:ea typeface="+mn-ea"/>
              <a:cs typeface="Times New Roman" panose="02020603050405020304" pitchFamily="18" charset="0"/>
            </a:rPr>
            <a:t> veendub, et lisataoltust ei ole juba eelmises pr</a:t>
          </a:r>
          <a:r>
            <a:rPr lang="et-EE" sz="1400">
              <a:solidFill>
                <a:schemeClr val="dk1"/>
              </a:solidFill>
              <a:effectLst/>
              <a:latin typeface="Times New Roman" panose="02020603050405020304" pitchFamily="18" charset="0"/>
              <a:ea typeface="+mn-ea"/>
              <a:cs typeface="Times New Roman" panose="02020603050405020304" pitchFamily="18" charset="0"/>
            </a:rPr>
            <a:t>otsessis VVs käsitletud;</a:t>
          </a:r>
          <a:endParaRPr lang="et-EE" sz="1400" baseline="0">
            <a:solidFill>
              <a:schemeClr val="dk1"/>
            </a:solidFill>
            <a:effectLst/>
            <a:latin typeface="Times New Roman" panose="02020603050405020304" pitchFamily="18" charset="0"/>
            <a:ea typeface="+mn-ea"/>
            <a:cs typeface="Times New Roman" panose="02020603050405020304" pitchFamily="18" charset="0"/>
          </a:endParaRPr>
        </a:p>
        <a:p>
          <a:r>
            <a:rPr lang="et-EE" sz="1400" baseline="0">
              <a:solidFill>
                <a:schemeClr val="dk1"/>
              </a:solidFill>
              <a:effectLst/>
              <a:latin typeface="Times New Roman" panose="02020603050405020304" pitchFamily="18" charset="0"/>
              <a:ea typeface="+mn-ea"/>
              <a:cs typeface="Times New Roman" panose="02020603050405020304" pitchFamily="18" charset="0"/>
            </a:rPr>
            <a:t>* Palgafondi kasvu, inflatsiooni mõju jms kasvusammu kuludesse sisse arvestada ei tohi; </a:t>
          </a:r>
        </a:p>
        <a:p>
          <a:r>
            <a:rPr lang="et-EE" sz="1400" baseline="0">
              <a:solidFill>
                <a:schemeClr val="dk1"/>
              </a:solidFill>
              <a:effectLst/>
              <a:latin typeface="Times New Roman" panose="02020603050405020304" pitchFamily="18" charset="0"/>
              <a:ea typeface="+mn-ea"/>
              <a:cs typeface="Times New Roman" panose="02020603050405020304" pitchFamily="18" charset="0"/>
            </a:rPr>
            <a:t>* Eraldi välja tuua, kui lisanduvad uued ametikohad.</a:t>
          </a:r>
        </a:p>
        <a:p>
          <a:endParaRPr lang="et-EE" sz="1400" b="1" baseline="0">
            <a:solidFill>
              <a:schemeClr val="dk1"/>
            </a:solidFill>
            <a:effectLst/>
            <a:latin typeface="Times New Roman" panose="02020603050405020304" pitchFamily="18" charset="0"/>
            <a:ea typeface="+mn-ea"/>
            <a:cs typeface="Times New Roman" panose="02020603050405020304" pitchFamily="18" charset="0"/>
          </a:endParaRPr>
        </a:p>
        <a:p>
          <a:r>
            <a:rPr lang="et-EE" sz="1400" b="1" baseline="0">
              <a:solidFill>
                <a:schemeClr val="dk1"/>
              </a:solidFill>
              <a:effectLst/>
              <a:latin typeface="Times New Roman" panose="02020603050405020304" pitchFamily="18" charset="0"/>
              <a:ea typeface="+mn-ea"/>
              <a:cs typeface="Times New Roman" panose="02020603050405020304" pitchFamily="18" charset="0"/>
            </a:rPr>
            <a:t>Õigusaktidest tulenevate lisataotluste hulka </a:t>
          </a:r>
          <a:r>
            <a:rPr lang="et-EE" sz="1400" b="1" u="sng" baseline="0">
              <a:solidFill>
                <a:sysClr val="windowText" lastClr="000000"/>
              </a:solidFill>
              <a:effectLst/>
              <a:latin typeface="Times New Roman" panose="02020603050405020304" pitchFamily="18" charset="0"/>
              <a:ea typeface="+mn-ea"/>
              <a:cs typeface="Times New Roman" panose="02020603050405020304" pitchFamily="18" charset="0"/>
            </a:rPr>
            <a:t>EI KUULU </a:t>
          </a:r>
          <a:r>
            <a:rPr lang="et-EE" sz="1400" baseline="0">
              <a:solidFill>
                <a:sysClr val="windowText" lastClr="000000"/>
              </a:solidFill>
              <a:effectLst/>
              <a:latin typeface="Times New Roman" panose="02020603050405020304" pitchFamily="18" charset="0"/>
              <a:ea typeface="+mn-ea"/>
              <a:cs typeface="Times New Roman" panose="02020603050405020304" pitchFamily="18" charset="0"/>
            </a:rPr>
            <a:t>(s.t. tegemist on tavapärase lisataotlusega):</a:t>
          </a:r>
        </a:p>
        <a:p>
          <a:endParaRPr lang="et-EE" sz="1400" baseline="0">
            <a:solidFill>
              <a:srgbClr val="FF0000"/>
            </a:solidFill>
            <a:effectLst/>
            <a:latin typeface="Times New Roman" panose="02020603050405020304" pitchFamily="18" charset="0"/>
            <a:ea typeface="+mn-ea"/>
            <a:cs typeface="Times New Roman" panose="02020603050405020304" pitchFamily="18" charset="0"/>
          </a:endParaRPr>
        </a:p>
        <a:p>
          <a:r>
            <a:rPr lang="et-EE" sz="1400" baseline="0">
              <a:solidFill>
                <a:schemeClr val="dk1"/>
              </a:solidFill>
              <a:effectLst/>
              <a:latin typeface="Times New Roman" panose="02020603050405020304" pitchFamily="18" charset="0"/>
              <a:ea typeface="+mn-ea"/>
              <a:cs typeface="Times New Roman" panose="02020603050405020304" pitchFamily="18" charset="0"/>
            </a:rPr>
            <a:t>* Õigusaktid, milles on ette nähtud, et asutus katab tegevused oma olemasoleva ressursiga;</a:t>
          </a:r>
        </a:p>
        <a:p>
          <a:r>
            <a:rPr lang="et-EE" sz="1400" baseline="0">
              <a:solidFill>
                <a:schemeClr val="dk1"/>
              </a:solidFill>
              <a:effectLst/>
              <a:latin typeface="Times New Roman" panose="02020603050405020304" pitchFamily="18" charset="0"/>
              <a:ea typeface="+mn-ea"/>
              <a:cs typeface="Times New Roman" panose="02020603050405020304" pitchFamily="18" charset="0"/>
            </a:rPr>
            <a:t>* Õigusaktid mida on menetletud juba varem kui eelmise aasta RE protsess ja ette nähtud kohustusi ning lisakulusid oli võimalik planeerida;</a:t>
          </a:r>
        </a:p>
        <a:p>
          <a:r>
            <a:rPr lang="et-EE" sz="1400" baseline="0">
              <a:solidFill>
                <a:schemeClr val="dk1"/>
              </a:solidFill>
              <a:effectLst/>
              <a:latin typeface="Times New Roman" panose="02020603050405020304" pitchFamily="18" charset="0"/>
              <a:ea typeface="+mn-ea"/>
              <a:cs typeface="Times New Roman" panose="02020603050405020304" pitchFamily="18" charset="0"/>
            </a:rPr>
            <a:t>* Õigusaktid, mis on varasemalt vastu võetud ja mille mõju on selgunud hiljem;</a:t>
          </a:r>
        </a:p>
        <a:p>
          <a:pPr marL="0" indent="0"/>
          <a:r>
            <a:rPr lang="et-EE" sz="1400" baseline="0">
              <a:solidFill>
                <a:schemeClr val="dk1"/>
              </a:solidFill>
              <a:effectLst/>
              <a:latin typeface="Times New Roman" panose="02020603050405020304" pitchFamily="18" charset="0"/>
              <a:ea typeface="+mn-ea"/>
              <a:cs typeface="Times New Roman" panose="02020603050405020304" pitchFamily="18" charset="0"/>
            </a:rPr>
            <a:t>* Varem VV-s käsitletud kuid otsustatud mitte rahastada (rahastamise otsus tegemata);</a:t>
          </a:r>
        </a:p>
        <a:p>
          <a:pPr marL="0" indent="0"/>
          <a:r>
            <a:rPr lang="et-EE" sz="1400" baseline="0">
              <a:solidFill>
                <a:schemeClr val="dk1"/>
              </a:solidFill>
              <a:effectLst/>
              <a:latin typeface="Times New Roman" panose="02020603050405020304" pitchFamily="18" charset="0"/>
              <a:ea typeface="+mn-ea"/>
              <a:cs typeface="Times New Roman" panose="02020603050405020304" pitchFamily="18" charset="0"/>
            </a:rPr>
            <a:t>* VTK tasandi õigusakt, kuna jõustumine ja/või ettevalmistused ei ole teada;</a:t>
          </a:r>
        </a:p>
        <a:p>
          <a:pPr marL="0" indent="0"/>
          <a:r>
            <a:rPr lang="et-EE" sz="1400" baseline="0">
              <a:solidFill>
                <a:schemeClr val="dk1"/>
              </a:solidFill>
              <a:effectLst/>
              <a:latin typeface="Times New Roman" panose="02020603050405020304" pitchFamily="18" charset="0"/>
              <a:ea typeface="+mn-ea"/>
              <a:cs typeface="Times New Roman" panose="02020603050405020304" pitchFamily="18" charset="0"/>
            </a:rPr>
            <a:t>* EL määrused/direktiivid, mis on ettevalmistamisel.</a:t>
          </a:r>
        </a:p>
      </xdr:txBody>
    </xdr:sp>
    <xdr:clientData/>
  </xdr:twoCellAnchor>
</xdr:wsDr>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hyperlink" Target="https://eelnoud.valitsus.ee/main/mount/docList/375b55a6-eaf1-4904-b3b7-fd0965df5106" TargetMode="External"/><Relationship Id="rId3" Type="http://schemas.openxmlformats.org/officeDocument/2006/relationships/hyperlink" Target="https://eur-lex.europa.eu/legal-content/EN/TXT/?uri=celex%3A52021PC0281" TargetMode="External"/><Relationship Id="rId7" Type="http://schemas.openxmlformats.org/officeDocument/2006/relationships/hyperlink" Target="https://eur-lex.europa.eu/legal-content/ET/TXT/PDF/?uri=CELEX:32023L0970" TargetMode="External"/><Relationship Id="rId12" Type="http://schemas.openxmlformats.org/officeDocument/2006/relationships/drawing" Target="../drawings/drawing2.xml"/><Relationship Id="rId2" Type="http://schemas.openxmlformats.org/officeDocument/2006/relationships/hyperlink" Target="http://data.europa.eu/eli/reg/2023/2854/oj" TargetMode="External"/><Relationship Id="rId1" Type="http://schemas.openxmlformats.org/officeDocument/2006/relationships/hyperlink" Target="https://eur-lex.europa.eu/legal-content/EN/TXT/?uri=celex:52021PC0206" TargetMode="External"/><Relationship Id="rId6" Type="http://schemas.openxmlformats.org/officeDocument/2006/relationships/hyperlink" Target="https://eur-lex.europa.eu/legal-content/ET/TXT/PDF/?uri=CELEX:32023L0970" TargetMode="External"/><Relationship Id="rId11" Type="http://schemas.openxmlformats.org/officeDocument/2006/relationships/hyperlink" Target="https://www.riigiteataja.ee/akt/107032023011?leiaKehtiv" TargetMode="External"/><Relationship Id="rId5" Type="http://schemas.openxmlformats.org/officeDocument/2006/relationships/hyperlink" Target="https://eur-lex.europa.eu/legal-content/ET/TXT/PDF/?uri=CELEX:32023L0970" TargetMode="External"/><Relationship Id="rId10" Type="http://schemas.openxmlformats.org/officeDocument/2006/relationships/hyperlink" Target="http://data.europa.eu/eli/dir/2022/2555" TargetMode="External"/><Relationship Id="rId4" Type="http://schemas.openxmlformats.org/officeDocument/2006/relationships/hyperlink" Target="https://www.europarl.europa.eu/doceo/document/TA-9-2024-0117_ET.html" TargetMode="External"/><Relationship Id="rId9" Type="http://schemas.openxmlformats.org/officeDocument/2006/relationships/hyperlink" Target="https://eelnoud.valitsus.ee/main/mount/docList/375b55a6-eaf1-4904-b3b7-fd0965df51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4B7B0-4764-496D-9313-E7C884B0D6FB}">
  <sheetPr codeName="Leht1">
    <tabColor theme="8" tint="0.59999389629810485"/>
  </sheetPr>
  <dimension ref="A1:AT147"/>
  <sheetViews>
    <sheetView topLeftCell="E85" zoomScaleNormal="100" workbookViewId="0">
      <selection activeCell="J86" sqref="J86"/>
    </sheetView>
  </sheetViews>
  <sheetFormatPr defaultColWidth="8.81640625" defaultRowHeight="14.5" x14ac:dyDescent="0.35"/>
  <cols>
    <col min="1" max="1" width="14.1796875" style="1" customWidth="1"/>
    <col min="2" max="2" width="5.81640625" style="1" customWidth="1"/>
    <col min="3" max="3" width="13.81640625" style="1" customWidth="1"/>
    <col min="4" max="4" width="14.1796875" style="1" customWidth="1"/>
    <col min="5" max="5" width="16.81640625" style="1" customWidth="1"/>
    <col min="6" max="6" width="18.54296875" style="1" customWidth="1"/>
    <col min="7" max="7" width="14.1796875" style="1" customWidth="1"/>
    <col min="8" max="8" width="12.81640625" style="1" customWidth="1"/>
    <col min="9" max="9" width="36.1796875" style="1" customWidth="1"/>
    <col min="10" max="10" width="31.1796875" style="3" customWidth="1"/>
    <col min="11" max="11" width="42" style="1" customWidth="1"/>
    <col min="12" max="12" width="15" style="1" hidden="1" customWidth="1"/>
    <col min="13" max="13" width="12" style="1" customWidth="1"/>
    <col min="14" max="14" width="14.1796875" style="1" customWidth="1"/>
    <col min="15" max="15" width="12.1796875" style="1" customWidth="1"/>
    <col min="16" max="16" width="8.81640625" style="1" customWidth="1"/>
    <col min="17" max="17" width="17.1796875" style="1" bestFit="1" customWidth="1"/>
    <col min="18" max="18" width="9.453125" style="1" bestFit="1" customWidth="1"/>
    <col min="19" max="19" width="9.54296875" style="1" bestFit="1" customWidth="1"/>
    <col min="20" max="23" width="13.1796875" style="1" customWidth="1"/>
    <col min="24" max="27" width="10.1796875" style="1" customWidth="1"/>
    <col min="28" max="28" width="10.81640625" style="1" customWidth="1"/>
    <col min="29" max="29" width="11.1796875" style="1" customWidth="1"/>
    <col min="30" max="41" width="14.1796875" style="1" customWidth="1"/>
    <col min="42" max="42" width="40.1796875" style="1" customWidth="1"/>
    <col min="43" max="43" width="37" style="1" customWidth="1"/>
    <col min="44" max="44" width="60.81640625" style="1" customWidth="1"/>
    <col min="45" max="45" width="48.453125" style="1" customWidth="1"/>
    <col min="46" max="46" width="26.54296875" style="1" customWidth="1"/>
    <col min="47" max="16384" width="8.81640625" style="1"/>
  </cols>
  <sheetData>
    <row r="1" spans="1:14" x14ac:dyDescent="0.35">
      <c r="A1" s="5" t="s">
        <v>0</v>
      </c>
      <c r="B1" s="211"/>
      <c r="C1" s="212"/>
      <c r="D1" s="212"/>
      <c r="E1" s="212"/>
      <c r="F1" s="8"/>
      <c r="G1" s="212"/>
      <c r="H1" s="361"/>
      <c r="I1" s="8"/>
    </row>
    <row r="2" spans="1:14" ht="30.75" customHeight="1" x14ac:dyDescent="0.35">
      <c r="A2" s="182" t="s">
        <v>1</v>
      </c>
      <c r="B2" s="1016" t="s">
        <v>2</v>
      </c>
      <c r="C2" s="1017"/>
      <c r="D2" s="1017"/>
      <c r="E2" s="1018"/>
      <c r="F2" s="8"/>
      <c r="G2" s="1016" t="s">
        <v>3</v>
      </c>
      <c r="H2" s="1017"/>
      <c r="I2" s="1017"/>
      <c r="J2" s="1017"/>
      <c r="K2" s="1018"/>
      <c r="L2" s="801"/>
    </row>
    <row r="3" spans="1:14" ht="65" x14ac:dyDescent="0.35">
      <c r="A3" s="206" t="s">
        <v>4</v>
      </c>
      <c r="B3" s="207" t="s">
        <v>5</v>
      </c>
      <c r="C3" s="208">
        <v>2023</v>
      </c>
      <c r="D3" s="208">
        <v>2024</v>
      </c>
      <c r="E3" s="208">
        <v>2025</v>
      </c>
      <c r="F3" s="8"/>
      <c r="G3" s="5" t="s">
        <v>6</v>
      </c>
      <c r="H3" s="213" t="s">
        <v>7</v>
      </c>
      <c r="I3" s="214" t="s">
        <v>8</v>
      </c>
      <c r="J3" s="215" t="s">
        <v>9</v>
      </c>
      <c r="K3" s="215" t="s">
        <v>10</v>
      </c>
      <c r="L3" s="802"/>
      <c r="M3" s="8"/>
      <c r="N3" s="3"/>
    </row>
    <row r="4" spans="1:14" x14ac:dyDescent="0.35">
      <c r="A4" s="209" t="s">
        <v>11</v>
      </c>
      <c r="B4" s="9">
        <f>SUM(C4:E4)</f>
        <v>18919067</v>
      </c>
      <c r="C4" s="9">
        <f>SUM(C5+C12)</f>
        <v>23250</v>
      </c>
      <c r="D4" s="9">
        <f>SUM(D5+D12)</f>
        <v>1807000</v>
      </c>
      <c r="E4" s="9">
        <f>SUM(E5+E12)</f>
        <v>17088817</v>
      </c>
      <c r="F4" s="8"/>
      <c r="G4" s="9">
        <f>SUM(H4:K4)</f>
        <v>117893811.62601513</v>
      </c>
      <c r="H4" s="216">
        <f>SUMIFS(Q35:Q104,G35:G104,$G$107)</f>
        <v>25110996.735599998</v>
      </c>
      <c r="I4" s="217">
        <f>SUMIFS(Q35:Q104,G35:G104,$G$108)</f>
        <v>5793472</v>
      </c>
      <c r="J4" s="217">
        <f>SUMIFS(Q35:Q104,G35:G104,$G$109)</f>
        <v>3652580.5</v>
      </c>
      <c r="K4" s="217">
        <f>SUMIFS(Q35:Q104,G35:G104,$G$110)</f>
        <v>83336762.390415132</v>
      </c>
      <c r="L4" s="803"/>
      <c r="M4" s="8"/>
      <c r="N4" s="4"/>
    </row>
    <row r="5" spans="1:14" x14ac:dyDescent="0.35">
      <c r="A5" s="209" t="s">
        <v>12</v>
      </c>
      <c r="B5" s="9">
        <f>SUM(C5:E5)</f>
        <v>683625</v>
      </c>
      <c r="C5" s="9">
        <f>SUM(C6:C11)</f>
        <v>0</v>
      </c>
      <c r="D5" s="9">
        <f>SUM(D6:D11)</f>
        <v>0</v>
      </c>
      <c r="E5" s="9">
        <f>SUM(E6:E11)</f>
        <v>683625</v>
      </c>
      <c r="F5" s="8"/>
      <c r="G5" s="8"/>
      <c r="J5" s="8"/>
      <c r="K5" s="4"/>
      <c r="L5" s="4"/>
    </row>
    <row r="6" spans="1:14" x14ac:dyDescent="0.35">
      <c r="A6" s="210" t="s">
        <v>13</v>
      </c>
      <c r="B6" s="17">
        <f>SUM(C6:E6)</f>
        <v>0</v>
      </c>
      <c r="C6" s="18">
        <f>SUMIFS(R35:R104,P35:P104,"Baaseelarve")</f>
        <v>0</v>
      </c>
      <c r="D6" s="18">
        <f>SUMIFS(S35:S104,P35:P104,"Baaseelarve")</f>
        <v>0</v>
      </c>
      <c r="E6" s="18">
        <f>SUMIFS(T35:T104,P35:P104,"Baaseelarve")</f>
        <v>0</v>
      </c>
      <c r="F6" s="10"/>
      <c r="G6" s="8"/>
      <c r="H6" s="8"/>
      <c r="I6" s="8"/>
      <c r="J6" s="8"/>
      <c r="K6" s="4"/>
      <c r="L6" s="4"/>
    </row>
    <row r="7" spans="1:14" x14ac:dyDescent="0.35">
      <c r="A7" s="210" t="s">
        <v>14</v>
      </c>
      <c r="B7" s="17">
        <f>SUM(C7:E7)</f>
        <v>683625</v>
      </c>
      <c r="C7" s="18">
        <f>SUMIFS(R35:R104,P35:P104,"Muu rahastus")</f>
        <v>0</v>
      </c>
      <c r="D7" s="18">
        <f>SUMIFS(S35:S104,P35:P104,"Muu rahastus")</f>
        <v>0</v>
      </c>
      <c r="E7" s="18">
        <f>SUMIFS(T35:T104,P35:P104,"Muu rahastus")</f>
        <v>683625</v>
      </c>
      <c r="F7" s="10"/>
      <c r="G7" s="8"/>
      <c r="H7" s="8"/>
      <c r="I7" s="8"/>
      <c r="J7" s="8"/>
      <c r="K7" s="4"/>
      <c r="L7" s="4"/>
    </row>
    <row r="8" spans="1:14" x14ac:dyDescent="0.35">
      <c r="A8" s="210" t="s">
        <v>15</v>
      </c>
      <c r="B8" s="17">
        <f>SUM(C8:E8)</f>
        <v>0</v>
      </c>
      <c r="C8" s="18">
        <f>SUMIFS(R35:R104,P35:P104,"Reserv (SR)")</f>
        <v>0</v>
      </c>
      <c r="D8" s="18">
        <f>SUMIFS(S35:S104,P35:P104,"Reserv (SR)")</f>
        <v>0</v>
      </c>
      <c r="E8" s="18">
        <f>SUMIFS(T35:T104,P35:P104,"Reserv (SR)")</f>
        <v>0</v>
      </c>
      <c r="F8" s="10"/>
      <c r="G8" s="8"/>
      <c r="H8" s="8"/>
      <c r="I8" s="8"/>
      <c r="J8" s="8"/>
      <c r="K8" s="4"/>
      <c r="L8" s="4"/>
    </row>
    <row r="9" spans="1:14" hidden="1" x14ac:dyDescent="0.35">
      <c r="A9" s="210" t="s">
        <v>16</v>
      </c>
      <c r="B9" s="17">
        <f t="shared" ref="B9" si="0">SUM(C9:D9)</f>
        <v>0</v>
      </c>
      <c r="C9" s="18">
        <f>SUMIFS(R35:R104,P35:P104,"RRF")</f>
        <v>0</v>
      </c>
      <c r="D9" s="18">
        <f>SUMIFS(S35:S104,P35:P104,"RRF")</f>
        <v>0</v>
      </c>
      <c r="E9" s="18"/>
      <c r="F9" s="10"/>
      <c r="G9" s="8"/>
      <c r="H9" s="8"/>
      <c r="I9" s="8"/>
      <c r="J9" s="8"/>
      <c r="K9" s="4"/>
      <c r="L9" s="4"/>
    </row>
    <row r="10" spans="1:14" x14ac:dyDescent="0.35">
      <c r="A10" s="210" t="s">
        <v>17</v>
      </c>
      <c r="B10" s="17">
        <f>SUM(C10:E10)</f>
        <v>0</v>
      </c>
      <c r="C10" s="18">
        <f>SUMIFS(R35:R104,P35:P104,"SF 14-20 (töös olev projekt)")</f>
        <v>0</v>
      </c>
      <c r="D10" s="18">
        <f>SUMIFS(S35:S104,P35:P104,"SF 14-20 (töös olev projekt)")</f>
        <v>0</v>
      </c>
      <c r="E10" s="18">
        <f>SUMIFS(T35:T104,P35:P104,"SF 14-20 (töös olev projekt)")</f>
        <v>0</v>
      </c>
      <c r="F10" s="10"/>
      <c r="G10" s="8"/>
      <c r="H10" s="8"/>
      <c r="I10" s="8"/>
      <c r="J10" s="8"/>
      <c r="K10" s="4"/>
      <c r="L10" s="4"/>
    </row>
    <row r="11" spans="1:14" x14ac:dyDescent="0.35">
      <c r="A11" s="210" t="s">
        <v>18</v>
      </c>
      <c r="B11" s="17">
        <f>SUM(C11:E11)</f>
        <v>0</v>
      </c>
      <c r="C11" s="18">
        <f>SUMIFS(R35:R104,P35:P104,"RRF")</f>
        <v>0</v>
      </c>
      <c r="D11" s="18">
        <f>SUMIFS(S35:S104,P35:P104,"RRF")</f>
        <v>0</v>
      </c>
      <c r="E11" s="18">
        <f>SUMIFS(T35:T104,P35:P104,"RRF")</f>
        <v>0</v>
      </c>
      <c r="F11" s="10"/>
      <c r="G11" s="8"/>
      <c r="H11" s="8"/>
      <c r="I11" s="8"/>
      <c r="J11" s="8"/>
      <c r="K11" s="4"/>
      <c r="L11" s="4"/>
    </row>
    <row r="12" spans="1:14" x14ac:dyDescent="0.35">
      <c r="A12" s="209" t="s">
        <v>19</v>
      </c>
      <c r="B12" s="9">
        <f>SUM(C12:E12)</f>
        <v>18235442</v>
      </c>
      <c r="C12" s="9">
        <f>SUM(C13:C14)</f>
        <v>23250</v>
      </c>
      <c r="D12" s="9">
        <f>SUM(D13:D14)</f>
        <v>1807000</v>
      </c>
      <c r="E12" s="9">
        <f>SUM(E13:E14)</f>
        <v>16405192</v>
      </c>
      <c r="F12" s="10"/>
      <c r="G12" s="8"/>
      <c r="H12" s="8"/>
      <c r="I12" s="8"/>
      <c r="J12" s="8"/>
      <c r="K12" s="4"/>
      <c r="L12" s="4"/>
    </row>
    <row r="13" spans="1:14" x14ac:dyDescent="0.35">
      <c r="A13" s="210" t="s">
        <v>20</v>
      </c>
      <c r="B13" s="17">
        <f>SUM(C13:E13)</f>
        <v>14244642</v>
      </c>
      <c r="C13" s="18">
        <f>SUMIFS(R35:R104,P35:P104,"RES IKT (vaja juurde taotleda)")</f>
        <v>0</v>
      </c>
      <c r="D13" s="18">
        <f>SUMIFS(S35:S104,P35:P104,"RES IKT (vaja juurde taotleda)")</f>
        <v>0</v>
      </c>
      <c r="E13" s="18">
        <f>SUMIFS(T35:T104,P35:P104,"RES IKT (vaja juurde taotleda)")</f>
        <v>14244642</v>
      </c>
      <c r="F13" s="10" t="s">
        <v>21</v>
      </c>
      <c r="G13" s="8"/>
      <c r="H13" s="8"/>
      <c r="I13" s="8"/>
      <c r="J13" s="8"/>
      <c r="K13" s="4"/>
      <c r="L13" s="4"/>
    </row>
    <row r="14" spans="1:14" x14ac:dyDescent="0.35">
      <c r="A14" s="210" t="s">
        <v>22</v>
      </c>
      <c r="B14" s="17">
        <f>SUM(C14:E14)</f>
        <v>3990800</v>
      </c>
      <c r="C14" s="18">
        <f>SUMIFS(R35:R104,P35:P104,"SF 21-27 (taotletav raha)")</f>
        <v>23250</v>
      </c>
      <c r="D14" s="18">
        <f>SUMIFS(S35:S104,P35:P104,"SF 21-27 (taotletav raha)")</f>
        <v>1807000</v>
      </c>
      <c r="E14" s="18">
        <f>SUMIFS(T35:T104,P35:P104,"SF 21-27 (taotletav raha)")</f>
        <v>2160550</v>
      </c>
      <c r="F14" s="10" t="s">
        <v>23</v>
      </c>
      <c r="G14" s="8"/>
      <c r="H14" s="8"/>
      <c r="I14" s="8"/>
      <c r="J14" s="8"/>
      <c r="K14" s="4"/>
      <c r="L14" s="4"/>
    </row>
    <row r="15" spans="1:14" x14ac:dyDescent="0.35">
      <c r="A15" s="6"/>
      <c r="B15" s="6"/>
      <c r="C15" s="6"/>
      <c r="D15" s="6"/>
      <c r="E15" s="6"/>
      <c r="F15" s="6"/>
      <c r="G15" s="6"/>
      <c r="H15" s="6"/>
      <c r="I15" s="6"/>
    </row>
    <row r="16" spans="1:14" x14ac:dyDescent="0.35">
      <c r="A16" s="10" t="s">
        <v>24</v>
      </c>
      <c r="B16" s="6"/>
      <c r="C16" s="6"/>
      <c r="D16" s="6"/>
      <c r="E16" s="6"/>
      <c r="F16" s="6"/>
      <c r="G16" s="6"/>
      <c r="H16" s="6"/>
      <c r="I16" s="6"/>
    </row>
    <row r="17" spans="1:45" ht="29.15" customHeight="1" x14ac:dyDescent="0.35">
      <c r="A17" s="50" t="s">
        <v>25</v>
      </c>
      <c r="B17" s="1002" t="s">
        <v>26</v>
      </c>
      <c r="C17" s="1003"/>
      <c r="D17" s="1003"/>
      <c r="E17" s="1003"/>
      <c r="F17" s="1003"/>
      <c r="G17" s="1003"/>
      <c r="H17" s="1003"/>
      <c r="I17" s="1003"/>
      <c r="J17" s="50" t="s">
        <v>27</v>
      </c>
      <c r="K17" s="1007" t="s">
        <v>28</v>
      </c>
      <c r="L17" s="1008"/>
      <c r="M17" s="1000"/>
      <c r="N17" s="1000"/>
      <c r="O17" s="1000"/>
      <c r="P17" s="1000"/>
      <c r="Q17" s="1000"/>
      <c r="R17" s="1001"/>
    </row>
    <row r="18" spans="1:45" ht="14.5" customHeight="1" x14ac:dyDescent="0.35">
      <c r="A18" s="51" t="s">
        <v>29</v>
      </c>
      <c r="B18" s="111" t="s">
        <v>30</v>
      </c>
      <c r="C18" s="112" t="s">
        <v>31</v>
      </c>
      <c r="D18" s="112" t="s">
        <v>32</v>
      </c>
      <c r="E18" s="112" t="s">
        <v>33</v>
      </c>
      <c r="F18" s="112" t="s">
        <v>34</v>
      </c>
      <c r="G18" s="112" t="s">
        <v>35</v>
      </c>
      <c r="H18" s="112" t="s">
        <v>36</v>
      </c>
      <c r="I18" s="218" t="s">
        <v>37</v>
      </c>
      <c r="J18" s="71"/>
      <c r="K18" s="3"/>
      <c r="L18" s="3"/>
      <c r="R18" s="67"/>
    </row>
    <row r="19" spans="1:45" ht="14.5" customHeight="1" x14ac:dyDescent="0.35">
      <c r="A19" s="52" t="s">
        <v>38</v>
      </c>
      <c r="B19" s="290">
        <v>0</v>
      </c>
      <c r="C19" s="273">
        <v>5000</v>
      </c>
      <c r="D19" s="273">
        <v>10000</v>
      </c>
      <c r="E19" s="273">
        <v>18000</v>
      </c>
      <c r="F19" s="273">
        <v>28000</v>
      </c>
      <c r="G19" s="273">
        <v>30000</v>
      </c>
      <c r="H19" s="273">
        <v>30000</v>
      </c>
      <c r="I19" s="274">
        <v>30000</v>
      </c>
      <c r="J19" s="275" t="s">
        <v>39</v>
      </c>
      <c r="K19" s="1023" t="s">
        <v>40</v>
      </c>
      <c r="L19" s="1024"/>
      <c r="M19" s="1025"/>
      <c r="N19" s="1025"/>
      <c r="O19" s="1025"/>
      <c r="P19" s="1025"/>
      <c r="Q19" s="1025"/>
      <c r="R19" s="1026"/>
    </row>
    <row r="20" spans="1:45" ht="29.15" customHeight="1" x14ac:dyDescent="0.35">
      <c r="A20" s="50" t="s">
        <v>41</v>
      </c>
      <c r="B20" s="1004" t="s">
        <v>42</v>
      </c>
      <c r="C20" s="1005"/>
      <c r="D20" s="1005"/>
      <c r="E20" s="1005"/>
      <c r="F20" s="1005"/>
      <c r="G20" s="1005"/>
      <c r="H20" s="1005"/>
      <c r="I20" s="1006"/>
      <c r="J20" s="73"/>
      <c r="K20" s="1007" t="s">
        <v>43</v>
      </c>
      <c r="L20" s="1008"/>
      <c r="M20" s="1000"/>
      <c r="N20" s="1000"/>
      <c r="O20" s="1000"/>
      <c r="P20" s="1000"/>
      <c r="Q20" s="1000"/>
      <c r="R20" s="1001"/>
    </row>
    <row r="21" spans="1:45" ht="14.5" customHeight="1" x14ac:dyDescent="0.35">
      <c r="A21" s="51" t="s">
        <v>29</v>
      </c>
      <c r="B21" s="111" t="s">
        <v>30</v>
      </c>
      <c r="C21" s="112" t="s">
        <v>31</v>
      </c>
      <c r="D21" s="112" t="s">
        <v>32</v>
      </c>
      <c r="E21" s="112" t="s">
        <v>33</v>
      </c>
      <c r="F21" s="112" t="s">
        <v>34</v>
      </c>
      <c r="G21" s="112" t="s">
        <v>35</v>
      </c>
      <c r="H21" s="112" t="s">
        <v>36</v>
      </c>
      <c r="I21" s="218" t="s">
        <v>37</v>
      </c>
      <c r="J21" s="71"/>
      <c r="K21" s="3"/>
      <c r="L21" s="3"/>
      <c r="R21" s="67"/>
    </row>
    <row r="22" spans="1:45" ht="14.5" customHeight="1" x14ac:dyDescent="0.35">
      <c r="A22" s="52" t="s">
        <v>38</v>
      </c>
      <c r="B22" s="290">
        <v>0</v>
      </c>
      <c r="C22" s="273">
        <v>2</v>
      </c>
      <c r="D22" s="273">
        <v>30</v>
      </c>
      <c r="E22" s="273">
        <v>50</v>
      </c>
      <c r="F22" s="273">
        <v>80</v>
      </c>
      <c r="G22" s="273">
        <v>84</v>
      </c>
      <c r="H22" s="273">
        <v>84</v>
      </c>
      <c r="I22" s="274">
        <v>84</v>
      </c>
      <c r="J22" s="275" t="s">
        <v>44</v>
      </c>
      <c r="K22" s="1023" t="s">
        <v>45</v>
      </c>
      <c r="L22" s="1024"/>
      <c r="M22" s="1025"/>
      <c r="N22" s="1025"/>
      <c r="O22" s="1025"/>
      <c r="P22" s="1025"/>
      <c r="Q22" s="1025"/>
      <c r="R22" s="1026"/>
    </row>
    <row r="23" spans="1:45" ht="29.15" customHeight="1" x14ac:dyDescent="0.35">
      <c r="A23" s="50" t="s">
        <v>41</v>
      </c>
      <c r="B23" s="1004" t="s">
        <v>46</v>
      </c>
      <c r="C23" s="1005"/>
      <c r="D23" s="1005"/>
      <c r="E23" s="1005"/>
      <c r="F23" s="1005"/>
      <c r="G23" s="1005"/>
      <c r="H23" s="1005"/>
      <c r="I23" s="1006"/>
      <c r="J23" s="73"/>
      <c r="K23" s="1007" t="s">
        <v>47</v>
      </c>
      <c r="L23" s="1008"/>
      <c r="M23" s="1000"/>
      <c r="N23" s="1000"/>
      <c r="O23" s="1000"/>
      <c r="P23" s="1000"/>
      <c r="Q23" s="1000"/>
      <c r="R23" s="1001"/>
    </row>
    <row r="24" spans="1:45" ht="14.5" customHeight="1" x14ac:dyDescent="0.35">
      <c r="A24" s="51" t="s">
        <v>29</v>
      </c>
      <c r="B24" s="111" t="s">
        <v>30</v>
      </c>
      <c r="C24" s="112" t="s">
        <v>31</v>
      </c>
      <c r="D24" s="112" t="s">
        <v>32</v>
      </c>
      <c r="E24" s="112" t="s">
        <v>33</v>
      </c>
      <c r="F24" s="112" t="s">
        <v>34</v>
      </c>
      <c r="G24" s="112" t="s">
        <v>35</v>
      </c>
      <c r="H24" s="112" t="s">
        <v>36</v>
      </c>
      <c r="I24" s="218" t="s">
        <v>37</v>
      </c>
      <c r="J24" s="71"/>
      <c r="K24" s="3"/>
      <c r="L24" s="3"/>
      <c r="R24" s="67"/>
    </row>
    <row r="25" spans="1:45" ht="14.5" customHeight="1" x14ac:dyDescent="0.35">
      <c r="A25" s="52" t="s">
        <v>38</v>
      </c>
      <c r="B25" s="290">
        <v>0</v>
      </c>
      <c r="C25" s="273">
        <v>4</v>
      </c>
      <c r="D25" s="273">
        <v>5</v>
      </c>
      <c r="E25" s="273">
        <v>5</v>
      </c>
      <c r="F25" s="273">
        <v>6</v>
      </c>
      <c r="G25" s="273">
        <v>7</v>
      </c>
      <c r="H25" s="273">
        <v>7</v>
      </c>
      <c r="I25" s="274">
        <v>7</v>
      </c>
      <c r="J25" s="275" t="s">
        <v>48</v>
      </c>
      <c r="K25" s="1027" t="s">
        <v>49</v>
      </c>
      <c r="L25" s="1028"/>
      <c r="M25" s="1029"/>
      <c r="N25" s="1029"/>
      <c r="O25" s="1029"/>
      <c r="P25" s="1029"/>
      <c r="Q25" s="1029"/>
      <c r="R25" s="1030"/>
    </row>
    <row r="26" spans="1:45" ht="72" customHeight="1" x14ac:dyDescent="0.35">
      <c r="A26" s="50" t="s">
        <v>50</v>
      </c>
      <c r="B26" s="1004" t="s">
        <v>51</v>
      </c>
      <c r="C26" s="1005"/>
      <c r="D26" s="1005"/>
      <c r="E26" s="1005"/>
      <c r="F26" s="1005"/>
      <c r="G26" s="1005"/>
      <c r="H26" s="1005"/>
      <c r="I26" s="1006"/>
      <c r="J26" s="447"/>
      <c r="K26" s="1022" t="s">
        <v>52</v>
      </c>
      <c r="L26" s="1008"/>
      <c r="M26" s="1000"/>
      <c r="N26" s="1000"/>
      <c r="O26" s="1000"/>
      <c r="P26" s="1000"/>
      <c r="Q26" s="1000"/>
      <c r="R26" s="1001"/>
    </row>
    <row r="27" spans="1:45" ht="14.5" customHeight="1" x14ac:dyDescent="0.35">
      <c r="A27" s="51" t="s">
        <v>29</v>
      </c>
      <c r="B27" s="111" t="s">
        <v>30</v>
      </c>
      <c r="C27" s="112" t="s">
        <v>31</v>
      </c>
      <c r="D27" s="112" t="s">
        <v>32</v>
      </c>
      <c r="E27" s="112" t="s">
        <v>33</v>
      </c>
      <c r="F27" s="112" t="s">
        <v>34</v>
      </c>
      <c r="G27" s="112" t="s">
        <v>35</v>
      </c>
      <c r="H27" s="112" t="s">
        <v>36</v>
      </c>
      <c r="I27" s="218" t="s">
        <v>37</v>
      </c>
      <c r="J27" s="383"/>
      <c r="K27" s="366"/>
      <c r="L27" s="3"/>
      <c r="R27" s="67"/>
    </row>
    <row r="28" spans="1:45" ht="14.5" customHeight="1" x14ac:dyDescent="0.35">
      <c r="A28" s="52" t="s">
        <v>38</v>
      </c>
      <c r="B28" s="290">
        <v>0</v>
      </c>
      <c r="C28" s="504">
        <v>0</v>
      </c>
      <c r="D28" s="505">
        <v>70</v>
      </c>
      <c r="E28" s="505">
        <v>80</v>
      </c>
      <c r="F28" s="505">
        <v>82</v>
      </c>
      <c r="G28" s="505">
        <v>85</v>
      </c>
      <c r="H28" s="505">
        <v>88</v>
      </c>
      <c r="I28" s="506">
        <v>90</v>
      </c>
      <c r="J28" s="275" t="s">
        <v>53</v>
      </c>
      <c r="K28" s="1031" t="s">
        <v>54</v>
      </c>
      <c r="L28" s="1024"/>
      <c r="M28" s="1025"/>
      <c r="N28" s="1025"/>
      <c r="O28" s="1025"/>
      <c r="P28" s="1025"/>
      <c r="Q28" s="1025"/>
      <c r="R28" s="1026"/>
    </row>
    <row r="29" spans="1:45" x14ac:dyDescent="0.35">
      <c r="A29" s="3"/>
      <c r="B29" s="3"/>
    </row>
    <row r="31" spans="1:45" ht="15" thickBot="1" x14ac:dyDescent="0.4">
      <c r="C31" s="78"/>
      <c r="D31" s="78"/>
    </row>
    <row r="32" spans="1:45" ht="15" thickBot="1" x14ac:dyDescent="0.4">
      <c r="C32" s="78"/>
      <c r="D32" s="78"/>
      <c r="X32" s="998" t="s">
        <v>55</v>
      </c>
      <c r="Y32" s="999"/>
      <c r="Z32" s="999"/>
      <c r="AA32" s="999"/>
      <c r="AB32" s="999"/>
      <c r="AC32" s="999"/>
      <c r="AD32" s="999"/>
      <c r="AE32" s="999"/>
      <c r="AF32" s="999"/>
      <c r="AG32" s="999"/>
      <c r="AH32" s="999"/>
      <c r="AI32" s="999"/>
      <c r="AJ32" s="999"/>
      <c r="AK32" s="999"/>
      <c r="AL32" s="999"/>
      <c r="AM32" s="1000"/>
      <c r="AN32" s="1000"/>
      <c r="AO32" s="1001"/>
      <c r="AS32" s="34"/>
    </row>
    <row r="33" spans="1:46" ht="73" thickBot="1" x14ac:dyDescent="0.4">
      <c r="A33" s="325" t="s">
        <v>56</v>
      </c>
      <c r="B33" s="326" t="s">
        <v>57</v>
      </c>
      <c r="C33" s="326" t="s">
        <v>58</v>
      </c>
      <c r="D33" s="327" t="s">
        <v>59</v>
      </c>
      <c r="E33" s="327" t="s">
        <v>60</v>
      </c>
      <c r="F33" s="327" t="s">
        <v>61</v>
      </c>
      <c r="G33" s="327" t="s">
        <v>62</v>
      </c>
      <c r="H33" s="327" t="s">
        <v>63</v>
      </c>
      <c r="I33" s="327" t="s">
        <v>64</v>
      </c>
      <c r="J33" s="327" t="s">
        <v>65</v>
      </c>
      <c r="K33" s="328" t="s">
        <v>66</v>
      </c>
      <c r="L33" s="804" t="s">
        <v>67</v>
      </c>
      <c r="M33" s="329" t="s">
        <v>68</v>
      </c>
      <c r="N33" s="327" t="s">
        <v>69</v>
      </c>
      <c r="O33" s="327" t="s">
        <v>70</v>
      </c>
      <c r="P33" s="327" t="s">
        <v>71</v>
      </c>
      <c r="Q33" s="330" t="s">
        <v>72</v>
      </c>
      <c r="R33" s="324">
        <v>2023</v>
      </c>
      <c r="S33" s="241">
        <v>2024</v>
      </c>
      <c r="T33" s="241">
        <v>2025</v>
      </c>
      <c r="U33" s="241">
        <v>2026</v>
      </c>
      <c r="V33" s="241">
        <v>2027</v>
      </c>
      <c r="W33" s="240">
        <v>2028</v>
      </c>
      <c r="X33" s="1012" t="s">
        <v>73</v>
      </c>
      <c r="Y33" s="1013"/>
      <c r="Z33" s="1014"/>
      <c r="AA33" s="1015">
        <v>2024</v>
      </c>
      <c r="AB33" s="1013"/>
      <c r="AC33" s="1014"/>
      <c r="AD33" s="1015">
        <v>2025</v>
      </c>
      <c r="AE33" s="1013"/>
      <c r="AF33" s="1014"/>
      <c r="AG33" s="1015">
        <v>2026</v>
      </c>
      <c r="AH33" s="1013"/>
      <c r="AI33" s="1014"/>
      <c r="AJ33" s="1015">
        <v>2027</v>
      </c>
      <c r="AK33" s="1013"/>
      <c r="AL33" s="1013"/>
      <c r="AM33" s="1009">
        <v>2028</v>
      </c>
      <c r="AN33" s="1010"/>
      <c r="AO33" s="1011"/>
      <c r="AP33" s="219" t="s">
        <v>74</v>
      </c>
      <c r="AQ33" s="22" t="s">
        <v>75</v>
      </c>
      <c r="AR33" s="21" t="s">
        <v>76</v>
      </c>
      <c r="AS33" s="21" t="s">
        <v>77</v>
      </c>
      <c r="AT33" s="22" t="s">
        <v>78</v>
      </c>
    </row>
    <row r="34" spans="1:46" s="220" customFormat="1" ht="169.5" customHeight="1" thickBot="1" x14ac:dyDescent="0.4">
      <c r="A34" s="448" t="s">
        <v>79</v>
      </c>
      <c r="B34" s="331" t="s">
        <v>80</v>
      </c>
      <c r="C34" s="331" t="s">
        <v>81</v>
      </c>
      <c r="D34" s="331" t="s">
        <v>82</v>
      </c>
      <c r="E34" s="332" t="s">
        <v>83</v>
      </c>
      <c r="F34" s="332" t="s">
        <v>83</v>
      </c>
      <c r="G34" s="332" t="s">
        <v>84</v>
      </c>
      <c r="H34" s="331" t="s">
        <v>85</v>
      </c>
      <c r="I34" s="331" t="s">
        <v>86</v>
      </c>
      <c r="J34" s="331" t="s">
        <v>87</v>
      </c>
      <c r="K34" s="331" t="s">
        <v>88</v>
      </c>
      <c r="L34" s="805" t="s">
        <v>89</v>
      </c>
      <c r="M34" s="333" t="s">
        <v>90</v>
      </c>
      <c r="N34" s="333" t="s">
        <v>91</v>
      </c>
      <c r="O34" s="334" t="s">
        <v>92</v>
      </c>
      <c r="P34" s="332" t="s">
        <v>83</v>
      </c>
      <c r="Q34" s="335"/>
      <c r="R34" s="1019"/>
      <c r="S34" s="1020"/>
      <c r="T34" s="1020"/>
      <c r="U34" s="1020"/>
      <c r="V34" s="1020"/>
      <c r="W34" s="1021"/>
      <c r="X34" s="28" t="s">
        <v>93</v>
      </c>
      <c r="Y34" s="25" t="s">
        <v>94</v>
      </c>
      <c r="Z34" s="26" t="s">
        <v>95</v>
      </c>
      <c r="AA34" s="24" t="s">
        <v>93</v>
      </c>
      <c r="AB34" s="25" t="s">
        <v>94</v>
      </c>
      <c r="AC34" s="27" t="s">
        <v>95</v>
      </c>
      <c r="AD34" s="28" t="s">
        <v>93</v>
      </c>
      <c r="AE34" s="25" t="s">
        <v>94</v>
      </c>
      <c r="AF34" s="26" t="s">
        <v>95</v>
      </c>
      <c r="AG34" s="28" t="s">
        <v>93</v>
      </c>
      <c r="AH34" s="25" t="s">
        <v>94</v>
      </c>
      <c r="AI34" s="26" t="s">
        <v>95</v>
      </c>
      <c r="AJ34" s="28" t="s">
        <v>93</v>
      </c>
      <c r="AK34" s="25" t="s">
        <v>94</v>
      </c>
      <c r="AL34" s="27" t="s">
        <v>95</v>
      </c>
      <c r="AM34" s="28" t="s">
        <v>93</v>
      </c>
      <c r="AN34" s="25" t="s">
        <v>94</v>
      </c>
      <c r="AO34" s="27" t="s">
        <v>95</v>
      </c>
      <c r="AP34" s="343" t="s">
        <v>96</v>
      </c>
      <c r="AQ34" s="344" t="s">
        <v>83</v>
      </c>
      <c r="AR34" s="356" t="s">
        <v>97</v>
      </c>
      <c r="AS34" s="356" t="s">
        <v>98</v>
      </c>
      <c r="AT34" s="344" t="s">
        <v>99</v>
      </c>
    </row>
    <row r="35" spans="1:46" s="173" customFormat="1" ht="15.5" x14ac:dyDescent="0.35">
      <c r="A35" s="816" t="s">
        <v>100</v>
      </c>
      <c r="B35" s="817"/>
      <c r="C35" s="817"/>
      <c r="D35" s="818" t="s">
        <v>102</v>
      </c>
      <c r="E35" s="818" t="s">
        <v>103</v>
      </c>
      <c r="F35" s="818" t="s">
        <v>104</v>
      </c>
      <c r="G35" s="818" t="s">
        <v>105</v>
      </c>
      <c r="H35" s="818" t="s">
        <v>106</v>
      </c>
      <c r="I35" s="818" t="s">
        <v>107</v>
      </c>
      <c r="J35" s="817" t="s">
        <v>108</v>
      </c>
      <c r="K35" s="818" t="s">
        <v>109</v>
      </c>
      <c r="L35" s="819" t="s">
        <v>110</v>
      </c>
      <c r="M35" s="818">
        <v>9</v>
      </c>
      <c r="N35" s="818"/>
      <c r="O35" s="818" t="s">
        <v>111</v>
      </c>
      <c r="P35" s="818" t="s">
        <v>112</v>
      </c>
      <c r="Q35" s="276">
        <f t="shared" ref="Q35:Q103" si="1">SUM(R35:W35)</f>
        <v>15000</v>
      </c>
      <c r="R35" s="285">
        <f t="shared" ref="R35" si="2">SUM(X35:Z35)</f>
        <v>0</v>
      </c>
      <c r="S35" s="284">
        <f t="shared" ref="S35" si="3">SUM(AA35:AC35)</f>
        <v>15000</v>
      </c>
      <c r="T35" s="284">
        <f t="shared" ref="T35" si="4">SUM(AD35:AF35)</f>
        <v>0</v>
      </c>
      <c r="U35" s="284">
        <f t="shared" ref="U35" si="5">SUM(AG35:AI35)</f>
        <v>0</v>
      </c>
      <c r="V35" s="284">
        <f>SUM(AJ35:AL35)</f>
        <v>0</v>
      </c>
      <c r="W35" s="286">
        <f>SUM(AM35:AO35)</f>
        <v>0</v>
      </c>
      <c r="X35" s="246"/>
      <c r="Y35" s="247"/>
      <c r="Z35" s="248"/>
      <c r="AA35" s="249"/>
      <c r="AB35" s="247"/>
      <c r="AC35" s="247">
        <v>15000</v>
      </c>
      <c r="AD35" s="246"/>
      <c r="AE35" s="247"/>
      <c r="AF35" s="248"/>
      <c r="AG35" s="246"/>
      <c r="AH35" s="247"/>
      <c r="AI35" s="248"/>
      <c r="AJ35" s="246"/>
      <c r="AK35" s="247"/>
      <c r="AL35" s="247"/>
      <c r="AM35" s="336"/>
      <c r="AN35" s="337"/>
      <c r="AO35" s="338"/>
      <c r="AP35" s="820" t="s">
        <v>113</v>
      </c>
      <c r="AQ35" s="821" t="s">
        <v>114</v>
      </c>
      <c r="AR35" s="822"/>
      <c r="AS35" s="822"/>
      <c r="AT35" s="822"/>
    </row>
    <row r="36" spans="1:46" s="221" customFormat="1" ht="15.5" x14ac:dyDescent="0.35">
      <c r="A36" s="816" t="s">
        <v>100</v>
      </c>
      <c r="B36" s="817"/>
      <c r="C36" s="817"/>
      <c r="D36" s="818" t="s">
        <v>102</v>
      </c>
      <c r="E36" s="818" t="s">
        <v>103</v>
      </c>
      <c r="F36" s="818" t="s">
        <v>104</v>
      </c>
      <c r="G36" s="818" t="s">
        <v>105</v>
      </c>
      <c r="H36" s="818" t="s">
        <v>106</v>
      </c>
      <c r="I36" s="818" t="s">
        <v>115</v>
      </c>
      <c r="J36" s="817" t="s">
        <v>116</v>
      </c>
      <c r="K36" s="818" t="s">
        <v>117</v>
      </c>
      <c r="L36" s="819" t="s">
        <v>110</v>
      </c>
      <c r="M36" s="818">
        <v>10</v>
      </c>
      <c r="N36" s="818"/>
      <c r="O36" s="818" t="s">
        <v>111</v>
      </c>
      <c r="P36" s="818" t="s">
        <v>112</v>
      </c>
      <c r="Q36" s="276">
        <f t="shared" si="1"/>
        <v>7000</v>
      </c>
      <c r="R36" s="277">
        <f t="shared" ref="R36" si="6">SUM(X36:Z36)</f>
        <v>0</v>
      </c>
      <c r="S36" s="287">
        <f t="shared" ref="S36" si="7">SUM(AA36:AC36)</f>
        <v>7000</v>
      </c>
      <c r="T36" s="287">
        <f t="shared" ref="T36" si="8">SUM(AD36:AF36)</f>
        <v>0</v>
      </c>
      <c r="U36" s="287">
        <f t="shared" ref="U36" si="9">SUM(AG36:AI36)</f>
        <v>0</v>
      </c>
      <c r="V36" s="288">
        <f>SUM(AJ36:AL36)</f>
        <v>0</v>
      </c>
      <c r="W36" s="289">
        <f t="shared" ref="W36:W104" si="10">SUM(AM36:AO36)</f>
        <v>0</v>
      </c>
      <c r="X36" s="246"/>
      <c r="Y36" s="247"/>
      <c r="Z36" s="248"/>
      <c r="AA36" s="249"/>
      <c r="AB36" s="247"/>
      <c r="AC36" s="247">
        <v>7000</v>
      </c>
      <c r="AD36" s="246"/>
      <c r="AE36" s="247"/>
      <c r="AF36" s="248"/>
      <c r="AG36" s="246"/>
      <c r="AH36" s="247"/>
      <c r="AI36" s="248"/>
      <c r="AJ36" s="246"/>
      <c r="AK36" s="247"/>
      <c r="AL36" s="247"/>
      <c r="AM36" s="252"/>
      <c r="AN36" s="253"/>
      <c r="AO36" s="254"/>
      <c r="AP36" s="820"/>
      <c r="AQ36" s="821" t="s">
        <v>118</v>
      </c>
      <c r="AR36" s="821"/>
      <c r="AS36" s="823"/>
      <c r="AT36" s="823"/>
    </row>
    <row r="37" spans="1:46" s="221" customFormat="1" ht="15.5" x14ac:dyDescent="0.35">
      <c r="A37" s="816" t="s">
        <v>100</v>
      </c>
      <c r="B37" s="817"/>
      <c r="C37" s="817"/>
      <c r="D37" s="818" t="s">
        <v>102</v>
      </c>
      <c r="E37" s="818" t="s">
        <v>103</v>
      </c>
      <c r="F37" s="818" t="s">
        <v>119</v>
      </c>
      <c r="G37" s="818" t="s">
        <v>105</v>
      </c>
      <c r="H37" s="818" t="s">
        <v>106</v>
      </c>
      <c r="I37" s="818" t="s">
        <v>120</v>
      </c>
      <c r="J37" s="824" t="s">
        <v>121</v>
      </c>
      <c r="K37" s="818" t="s">
        <v>122</v>
      </c>
      <c r="L37" s="819" t="s">
        <v>110</v>
      </c>
      <c r="M37" s="818">
        <v>3</v>
      </c>
      <c r="N37" s="818"/>
      <c r="O37" s="818"/>
      <c r="P37" s="818" t="s">
        <v>112</v>
      </c>
      <c r="Q37" s="276">
        <f t="shared" si="1"/>
        <v>30000</v>
      </c>
      <c r="R37" s="277">
        <f t="shared" ref="R37:R104" si="11">SUM(X37:Z37)</f>
        <v>0</v>
      </c>
      <c r="S37" s="287">
        <f t="shared" ref="S37:S104" si="12">SUM(AA37:AC37)</f>
        <v>30000</v>
      </c>
      <c r="T37" s="287">
        <f t="shared" ref="T37:T104" si="13">SUM(AD37:AF37)</f>
        <v>0</v>
      </c>
      <c r="U37" s="287">
        <f t="shared" ref="U37:U104" si="14">SUM(AG37:AI37)</f>
        <v>0</v>
      </c>
      <c r="V37" s="288">
        <f t="shared" ref="V37:V104" si="15">SUM(AJ37:AL37)</f>
        <v>0</v>
      </c>
      <c r="W37" s="289">
        <f t="shared" si="10"/>
        <v>0</v>
      </c>
      <c r="X37" s="246"/>
      <c r="Y37" s="247"/>
      <c r="Z37" s="248"/>
      <c r="AA37" s="249"/>
      <c r="AB37" s="247"/>
      <c r="AC37" s="247">
        <v>30000</v>
      </c>
      <c r="AD37" s="246"/>
      <c r="AE37" s="247"/>
      <c r="AF37" s="248"/>
      <c r="AG37" s="246"/>
      <c r="AH37" s="247"/>
      <c r="AI37" s="248"/>
      <c r="AJ37" s="246"/>
      <c r="AK37" s="247"/>
      <c r="AL37" s="247"/>
      <c r="AM37" s="252"/>
      <c r="AN37" s="253"/>
      <c r="AO37" s="254"/>
      <c r="AP37" s="820" t="s">
        <v>123</v>
      </c>
      <c r="AQ37" s="821" t="s">
        <v>118</v>
      </c>
      <c r="AR37" s="821"/>
      <c r="AS37" s="823"/>
      <c r="AT37" s="823"/>
    </row>
    <row r="38" spans="1:46" s="221" customFormat="1" ht="15.5" x14ac:dyDescent="0.35">
      <c r="A38" s="816" t="s">
        <v>100</v>
      </c>
      <c r="B38" s="817" t="s">
        <v>124</v>
      </c>
      <c r="C38" s="817"/>
      <c r="D38" s="818" t="s">
        <v>125</v>
      </c>
      <c r="E38" s="818" t="s">
        <v>103</v>
      </c>
      <c r="F38" s="818" t="s">
        <v>126</v>
      </c>
      <c r="G38" s="825" t="s">
        <v>127</v>
      </c>
      <c r="H38" s="818" t="s">
        <v>106</v>
      </c>
      <c r="I38" s="818" t="s">
        <v>128</v>
      </c>
      <c r="J38" s="824" t="s">
        <v>129</v>
      </c>
      <c r="K38" s="818" t="s">
        <v>130</v>
      </c>
      <c r="L38" s="819" t="s">
        <v>110</v>
      </c>
      <c r="M38" s="818">
        <v>5</v>
      </c>
      <c r="N38" s="818"/>
      <c r="O38" s="818" t="s">
        <v>111</v>
      </c>
      <c r="P38" s="818" t="s">
        <v>112</v>
      </c>
      <c r="Q38" s="276">
        <f t="shared" si="1"/>
        <v>25000</v>
      </c>
      <c r="R38" s="277">
        <f t="shared" si="11"/>
        <v>0</v>
      </c>
      <c r="S38" s="287">
        <f t="shared" si="12"/>
        <v>25000</v>
      </c>
      <c r="T38" s="287">
        <f t="shared" si="13"/>
        <v>0</v>
      </c>
      <c r="U38" s="287">
        <f t="shared" si="14"/>
        <v>0</v>
      </c>
      <c r="V38" s="288">
        <f t="shared" si="15"/>
        <v>0</v>
      </c>
      <c r="W38" s="289">
        <f t="shared" si="10"/>
        <v>0</v>
      </c>
      <c r="X38" s="246"/>
      <c r="Y38" s="247"/>
      <c r="Z38" s="248"/>
      <c r="AA38" s="249"/>
      <c r="AB38" s="247"/>
      <c r="AC38" s="247">
        <v>25000</v>
      </c>
      <c r="AD38" s="246"/>
      <c r="AE38" s="247"/>
      <c r="AF38" s="248"/>
      <c r="AG38" s="246"/>
      <c r="AH38" s="247"/>
      <c r="AI38" s="248"/>
      <c r="AJ38" s="246"/>
      <c r="AK38" s="247"/>
      <c r="AL38" s="247"/>
      <c r="AM38" s="252"/>
      <c r="AN38" s="253"/>
      <c r="AO38" s="254"/>
      <c r="AP38" s="820"/>
      <c r="AQ38" s="821" t="s">
        <v>118</v>
      </c>
      <c r="AR38" s="821"/>
      <c r="AS38" s="823"/>
      <c r="AT38" s="823"/>
    </row>
    <row r="39" spans="1:46" s="221" customFormat="1" ht="15.5" x14ac:dyDescent="0.35">
      <c r="A39" s="816" t="s">
        <v>100</v>
      </c>
      <c r="B39" s="817" t="s">
        <v>124</v>
      </c>
      <c r="C39" s="817"/>
      <c r="D39" s="818" t="s">
        <v>125</v>
      </c>
      <c r="E39" s="818" t="s">
        <v>103</v>
      </c>
      <c r="F39" s="818" t="s">
        <v>119</v>
      </c>
      <c r="G39" s="825" t="s">
        <v>105</v>
      </c>
      <c r="H39" s="818" t="s">
        <v>106</v>
      </c>
      <c r="I39" s="818" t="s">
        <v>131</v>
      </c>
      <c r="J39" s="817" t="s">
        <v>132</v>
      </c>
      <c r="K39" s="818" t="s">
        <v>133</v>
      </c>
      <c r="L39" s="819" t="s">
        <v>110</v>
      </c>
      <c r="M39" s="818">
        <v>2</v>
      </c>
      <c r="N39" s="818"/>
      <c r="O39" s="818" t="s">
        <v>111</v>
      </c>
      <c r="P39" s="818" t="s">
        <v>112</v>
      </c>
      <c r="Q39" s="276">
        <f t="shared" si="1"/>
        <v>991052</v>
      </c>
      <c r="R39" s="277">
        <f t="shared" si="11"/>
        <v>19102</v>
      </c>
      <c r="S39" s="287">
        <f>SUM(AA39:AC39)</f>
        <v>224000</v>
      </c>
      <c r="T39" s="287">
        <f t="shared" si="13"/>
        <v>224000</v>
      </c>
      <c r="U39" s="287">
        <f t="shared" si="14"/>
        <v>255800</v>
      </c>
      <c r="V39" s="288">
        <f t="shared" si="15"/>
        <v>268150</v>
      </c>
      <c r="W39" s="289">
        <f t="shared" si="10"/>
        <v>0</v>
      </c>
      <c r="X39" s="246"/>
      <c r="Y39" s="582">
        <v>11926</v>
      </c>
      <c r="Z39" s="583">
        <v>7176</v>
      </c>
      <c r="AA39" s="249"/>
      <c r="AB39" s="874">
        <v>214000</v>
      </c>
      <c r="AC39" s="247">
        <v>10000</v>
      </c>
      <c r="AD39" s="246"/>
      <c r="AE39" s="874">
        <v>214000</v>
      </c>
      <c r="AF39" s="248">
        <v>10000</v>
      </c>
      <c r="AG39" s="246"/>
      <c r="AH39" s="247">
        <v>245800</v>
      </c>
      <c r="AI39" s="248">
        <v>10000</v>
      </c>
      <c r="AJ39" s="246"/>
      <c r="AK39" s="247">
        <v>258150</v>
      </c>
      <c r="AL39" s="247">
        <v>10000</v>
      </c>
      <c r="AM39" s="252"/>
      <c r="AN39" s="253"/>
      <c r="AO39" s="254"/>
      <c r="AP39" s="820"/>
      <c r="AQ39" s="821" t="s">
        <v>134</v>
      </c>
      <c r="AR39" s="821" t="s">
        <v>135</v>
      </c>
      <c r="AS39" s="823"/>
      <c r="AT39" s="823"/>
    </row>
    <row r="40" spans="1:46" s="173" customFormat="1" ht="15.5" x14ac:dyDescent="0.35">
      <c r="A40" s="816" t="s">
        <v>100</v>
      </c>
      <c r="B40" s="817" t="s">
        <v>124</v>
      </c>
      <c r="C40" s="817"/>
      <c r="D40" s="818" t="s">
        <v>125</v>
      </c>
      <c r="E40" s="818" t="s">
        <v>103</v>
      </c>
      <c r="F40" s="818" t="s">
        <v>126</v>
      </c>
      <c r="G40" s="825" t="s">
        <v>127</v>
      </c>
      <c r="H40" s="818" t="s">
        <v>106</v>
      </c>
      <c r="I40" s="818" t="s">
        <v>136</v>
      </c>
      <c r="J40" s="817" t="s">
        <v>137</v>
      </c>
      <c r="K40" s="818" t="s">
        <v>138</v>
      </c>
      <c r="L40" s="819" t="s">
        <v>110</v>
      </c>
      <c r="M40" s="818">
        <v>5</v>
      </c>
      <c r="N40" s="818"/>
      <c r="O40" s="818" t="s">
        <v>111</v>
      </c>
      <c r="P40" s="818" t="s">
        <v>112</v>
      </c>
      <c r="Q40" s="276">
        <f t="shared" si="1"/>
        <v>5000</v>
      </c>
      <c r="R40" s="277">
        <f t="shared" si="11"/>
        <v>0</v>
      </c>
      <c r="S40" s="287">
        <f t="shared" si="12"/>
        <v>5000</v>
      </c>
      <c r="T40" s="287">
        <f t="shared" si="13"/>
        <v>0</v>
      </c>
      <c r="U40" s="287">
        <f t="shared" si="14"/>
        <v>0</v>
      </c>
      <c r="V40" s="288">
        <f t="shared" si="15"/>
        <v>0</v>
      </c>
      <c r="W40" s="289">
        <f t="shared" si="10"/>
        <v>0</v>
      </c>
      <c r="X40" s="246"/>
      <c r="Y40" s="247"/>
      <c r="Z40" s="248"/>
      <c r="AA40" s="249"/>
      <c r="AB40" s="247"/>
      <c r="AC40" s="247">
        <v>5000</v>
      </c>
      <c r="AD40" s="246"/>
      <c r="AE40" s="247"/>
      <c r="AF40" s="248"/>
      <c r="AG40" s="246"/>
      <c r="AH40" s="247"/>
      <c r="AI40" s="248"/>
      <c r="AJ40" s="246"/>
      <c r="AK40" s="247"/>
      <c r="AL40" s="247"/>
      <c r="AM40" s="252"/>
      <c r="AN40" s="253"/>
      <c r="AO40" s="254"/>
      <c r="AP40" s="820"/>
      <c r="AQ40" s="821" t="s">
        <v>118</v>
      </c>
      <c r="AR40" s="821"/>
      <c r="AS40" s="823"/>
      <c r="AT40" s="823"/>
    </row>
    <row r="41" spans="1:46" s="221" customFormat="1" ht="15.5" x14ac:dyDescent="0.35">
      <c r="A41" s="816" t="s">
        <v>100</v>
      </c>
      <c r="B41" s="817" t="s">
        <v>124</v>
      </c>
      <c r="C41" s="817"/>
      <c r="D41" s="818" t="s">
        <v>125</v>
      </c>
      <c r="E41" s="818" t="s">
        <v>103</v>
      </c>
      <c r="F41" s="818" t="s">
        <v>126</v>
      </c>
      <c r="G41" s="825" t="s">
        <v>127</v>
      </c>
      <c r="H41" s="818" t="s">
        <v>106</v>
      </c>
      <c r="I41" s="818" t="s">
        <v>139</v>
      </c>
      <c r="J41" s="817" t="s">
        <v>140</v>
      </c>
      <c r="K41" s="818" t="s">
        <v>141</v>
      </c>
      <c r="L41" s="819" t="s">
        <v>110</v>
      </c>
      <c r="M41" s="818">
        <v>4</v>
      </c>
      <c r="N41" s="818"/>
      <c r="O41" s="818" t="s">
        <v>111</v>
      </c>
      <c r="P41" s="818" t="s">
        <v>112</v>
      </c>
      <c r="Q41" s="276">
        <f t="shared" si="1"/>
        <v>5000</v>
      </c>
      <c r="R41" s="277">
        <f t="shared" si="11"/>
        <v>0</v>
      </c>
      <c r="S41" s="287">
        <f t="shared" si="12"/>
        <v>5000</v>
      </c>
      <c r="T41" s="287">
        <f t="shared" si="13"/>
        <v>0</v>
      </c>
      <c r="U41" s="287">
        <f t="shared" si="14"/>
        <v>0</v>
      </c>
      <c r="V41" s="288">
        <f t="shared" si="15"/>
        <v>0</v>
      </c>
      <c r="W41" s="289">
        <f t="shared" si="10"/>
        <v>0</v>
      </c>
      <c r="X41" s="246"/>
      <c r="Y41" s="247"/>
      <c r="Z41" s="248"/>
      <c r="AA41" s="249"/>
      <c r="AB41" s="247"/>
      <c r="AC41" s="247">
        <v>5000</v>
      </c>
      <c r="AD41" s="246"/>
      <c r="AE41" s="247"/>
      <c r="AF41" s="248"/>
      <c r="AG41" s="246"/>
      <c r="AH41" s="247"/>
      <c r="AI41" s="248"/>
      <c r="AJ41" s="246"/>
      <c r="AK41" s="247"/>
      <c r="AL41" s="247"/>
      <c r="AM41" s="252"/>
      <c r="AN41" s="253"/>
      <c r="AO41" s="254"/>
      <c r="AP41" s="820"/>
      <c r="AQ41" s="821" t="s">
        <v>118</v>
      </c>
      <c r="AR41" s="821"/>
      <c r="AS41" s="823"/>
      <c r="AT41" s="823"/>
    </row>
    <row r="42" spans="1:46" s="221" customFormat="1" ht="15.5" x14ac:dyDescent="0.35">
      <c r="A42" s="816" t="s">
        <v>100</v>
      </c>
      <c r="B42" s="817" t="s">
        <v>124</v>
      </c>
      <c r="C42" s="817"/>
      <c r="D42" s="818" t="s">
        <v>125</v>
      </c>
      <c r="E42" s="818" t="s">
        <v>103</v>
      </c>
      <c r="F42" s="818" t="s">
        <v>126</v>
      </c>
      <c r="G42" s="825" t="s">
        <v>127</v>
      </c>
      <c r="H42" s="818" t="s">
        <v>106</v>
      </c>
      <c r="I42" s="818" t="s">
        <v>142</v>
      </c>
      <c r="J42" s="824" t="s">
        <v>143</v>
      </c>
      <c r="K42" s="818" t="s">
        <v>144</v>
      </c>
      <c r="L42" s="819" t="s">
        <v>110</v>
      </c>
      <c r="M42" s="818">
        <v>7</v>
      </c>
      <c r="N42" s="818"/>
      <c r="O42" s="818" t="s">
        <v>111</v>
      </c>
      <c r="P42" s="818" t="s">
        <v>112</v>
      </c>
      <c r="Q42" s="276">
        <f t="shared" si="1"/>
        <v>10000</v>
      </c>
      <c r="R42" s="277">
        <f t="shared" si="11"/>
        <v>0</v>
      </c>
      <c r="S42" s="287">
        <f t="shared" si="12"/>
        <v>10000</v>
      </c>
      <c r="T42" s="287">
        <f t="shared" si="13"/>
        <v>0</v>
      </c>
      <c r="U42" s="287">
        <f t="shared" si="14"/>
        <v>0</v>
      </c>
      <c r="V42" s="288">
        <f t="shared" si="15"/>
        <v>0</v>
      </c>
      <c r="W42" s="289">
        <f t="shared" si="10"/>
        <v>0</v>
      </c>
      <c r="X42" s="246"/>
      <c r="Y42" s="247"/>
      <c r="Z42" s="248"/>
      <c r="AA42" s="249"/>
      <c r="AB42" s="247"/>
      <c r="AC42" s="247">
        <v>10000</v>
      </c>
      <c r="AD42" s="246"/>
      <c r="AE42" s="247"/>
      <c r="AF42" s="248"/>
      <c r="AG42" s="246"/>
      <c r="AH42" s="247"/>
      <c r="AI42" s="248"/>
      <c r="AJ42" s="246"/>
      <c r="AK42" s="247"/>
      <c r="AL42" s="247"/>
      <c r="AM42" s="252"/>
      <c r="AN42" s="253"/>
      <c r="AO42" s="254"/>
      <c r="AP42" s="820"/>
      <c r="AQ42" s="821" t="s">
        <v>118</v>
      </c>
      <c r="AR42" s="821"/>
      <c r="AS42" s="823"/>
      <c r="AT42" s="823"/>
    </row>
    <row r="43" spans="1:46" s="221" customFormat="1" ht="15.5" x14ac:dyDescent="0.35">
      <c r="A43" s="816" t="s">
        <v>100</v>
      </c>
      <c r="B43" s="817" t="s">
        <v>145</v>
      </c>
      <c r="C43" s="817"/>
      <c r="D43" s="818" t="s">
        <v>146</v>
      </c>
      <c r="E43" s="818" t="s">
        <v>103</v>
      </c>
      <c r="F43" s="818" t="s">
        <v>126</v>
      </c>
      <c r="G43" s="825" t="s">
        <v>127</v>
      </c>
      <c r="H43" s="818" t="s">
        <v>106</v>
      </c>
      <c r="I43" s="818" t="s">
        <v>147</v>
      </c>
      <c r="J43" s="817" t="s">
        <v>148</v>
      </c>
      <c r="K43" s="818" t="s">
        <v>149</v>
      </c>
      <c r="L43" s="819" t="s">
        <v>110</v>
      </c>
      <c r="M43" s="818">
        <v>8</v>
      </c>
      <c r="N43" s="818"/>
      <c r="O43" s="818" t="s">
        <v>111</v>
      </c>
      <c r="P43" s="818" t="s">
        <v>112</v>
      </c>
      <c r="Q43" s="276">
        <f t="shared" si="1"/>
        <v>60000</v>
      </c>
      <c r="R43" s="277">
        <f t="shared" si="11"/>
        <v>0</v>
      </c>
      <c r="S43" s="287">
        <f t="shared" si="12"/>
        <v>60000</v>
      </c>
      <c r="T43" s="287">
        <f t="shared" si="13"/>
        <v>0</v>
      </c>
      <c r="U43" s="287">
        <f t="shared" si="14"/>
        <v>0</v>
      </c>
      <c r="V43" s="288">
        <f t="shared" si="15"/>
        <v>0</v>
      </c>
      <c r="W43" s="289">
        <f t="shared" si="10"/>
        <v>0</v>
      </c>
      <c r="X43" s="246"/>
      <c r="Y43" s="247"/>
      <c r="Z43" s="248"/>
      <c r="AA43" s="249">
        <v>60000</v>
      </c>
      <c r="AB43" s="247"/>
      <c r="AC43" s="247"/>
      <c r="AD43" s="246"/>
      <c r="AE43" s="247"/>
      <c r="AF43" s="248"/>
      <c r="AG43" s="246"/>
      <c r="AH43" s="247"/>
      <c r="AI43" s="248"/>
      <c r="AJ43" s="246"/>
      <c r="AK43" s="247"/>
      <c r="AL43" s="247"/>
      <c r="AM43" s="252"/>
      <c r="AN43" s="253"/>
      <c r="AO43" s="254"/>
      <c r="AP43" s="820"/>
      <c r="AQ43" s="821" t="s">
        <v>118</v>
      </c>
      <c r="AR43" s="821" t="s">
        <v>150</v>
      </c>
      <c r="AS43" s="823"/>
      <c r="AT43" s="823"/>
    </row>
    <row r="44" spans="1:46" s="221" customFormat="1" ht="15.5" x14ac:dyDescent="0.35">
      <c r="A44" s="816" t="s">
        <v>100</v>
      </c>
      <c r="B44" s="817"/>
      <c r="C44" s="817"/>
      <c r="D44" s="818" t="s">
        <v>102</v>
      </c>
      <c r="E44" s="818" t="s">
        <v>103</v>
      </c>
      <c r="F44" s="818" t="s">
        <v>104</v>
      </c>
      <c r="G44" s="825" t="s">
        <v>105</v>
      </c>
      <c r="H44" s="818" t="s">
        <v>106</v>
      </c>
      <c r="I44" s="818" t="s">
        <v>151</v>
      </c>
      <c r="J44" s="824" t="s">
        <v>152</v>
      </c>
      <c r="K44" s="818" t="s">
        <v>153</v>
      </c>
      <c r="L44" s="819" t="s">
        <v>110</v>
      </c>
      <c r="M44" s="818">
        <v>1</v>
      </c>
      <c r="N44" s="818"/>
      <c r="O44" s="818" t="s">
        <v>111</v>
      </c>
      <c r="P44" s="818" t="s">
        <v>112</v>
      </c>
      <c r="Q44" s="276">
        <f t="shared" si="1"/>
        <v>549148</v>
      </c>
      <c r="R44" s="277">
        <f t="shared" si="11"/>
        <v>4148</v>
      </c>
      <c r="S44" s="287">
        <f t="shared" si="12"/>
        <v>90000</v>
      </c>
      <c r="T44" s="287">
        <f t="shared" si="13"/>
        <v>135000</v>
      </c>
      <c r="U44" s="287">
        <f t="shared" si="14"/>
        <v>320000</v>
      </c>
      <c r="V44" s="288">
        <f t="shared" si="15"/>
        <v>0</v>
      </c>
      <c r="W44" s="289">
        <f t="shared" si="10"/>
        <v>0</v>
      </c>
      <c r="X44" s="246"/>
      <c r="Y44" s="247">
        <v>4148</v>
      </c>
      <c r="Z44" s="248"/>
      <c r="AA44" s="249"/>
      <c r="AB44" s="874">
        <v>75000</v>
      </c>
      <c r="AC44" s="247">
        <v>15000</v>
      </c>
      <c r="AD44" s="246"/>
      <c r="AE44" s="874">
        <v>115000</v>
      </c>
      <c r="AF44" s="248">
        <v>20000</v>
      </c>
      <c r="AG44" s="246"/>
      <c r="AH44" s="247">
        <v>300000</v>
      </c>
      <c r="AI44" s="248">
        <v>20000</v>
      </c>
      <c r="AJ44" s="246"/>
      <c r="AK44" s="247"/>
      <c r="AL44" s="247"/>
      <c r="AM44" s="252"/>
      <c r="AN44" s="253"/>
      <c r="AO44" s="254"/>
      <c r="AP44" s="820" t="s">
        <v>154</v>
      </c>
      <c r="AQ44" s="821" t="s">
        <v>134</v>
      </c>
      <c r="AR44" s="821" t="s">
        <v>155</v>
      </c>
      <c r="AS44" s="823"/>
      <c r="AT44" s="823"/>
    </row>
    <row r="45" spans="1:46" s="221" customFormat="1" ht="15.5" x14ac:dyDescent="0.35">
      <c r="A45" s="816" t="s">
        <v>100</v>
      </c>
      <c r="B45" s="817" t="s">
        <v>145</v>
      </c>
      <c r="C45" s="817"/>
      <c r="D45" s="818" t="s">
        <v>146</v>
      </c>
      <c r="E45" s="818" t="s">
        <v>103</v>
      </c>
      <c r="F45" s="818" t="s">
        <v>104</v>
      </c>
      <c r="G45" s="825" t="s">
        <v>127</v>
      </c>
      <c r="H45" s="818" t="s">
        <v>106</v>
      </c>
      <c r="I45" s="818" t="s">
        <v>156</v>
      </c>
      <c r="J45" s="824" t="s">
        <v>157</v>
      </c>
      <c r="K45" s="818" t="s">
        <v>158</v>
      </c>
      <c r="L45" s="819" t="s">
        <v>110</v>
      </c>
      <c r="M45" s="818">
        <v>1</v>
      </c>
      <c r="N45" s="818"/>
      <c r="O45" s="818" t="s">
        <v>111</v>
      </c>
      <c r="P45" s="818" t="s">
        <v>112</v>
      </c>
      <c r="Q45" s="276">
        <f t="shared" si="1"/>
        <v>120000</v>
      </c>
      <c r="R45" s="277">
        <f t="shared" si="11"/>
        <v>0</v>
      </c>
      <c r="S45" s="287">
        <f t="shared" si="12"/>
        <v>120000</v>
      </c>
      <c r="T45" s="287">
        <f t="shared" si="13"/>
        <v>0</v>
      </c>
      <c r="U45" s="287">
        <f t="shared" si="14"/>
        <v>0</v>
      </c>
      <c r="V45" s="288">
        <f t="shared" si="15"/>
        <v>0</v>
      </c>
      <c r="W45" s="289">
        <f t="shared" si="10"/>
        <v>0</v>
      </c>
      <c r="X45" s="246"/>
      <c r="Y45" s="247"/>
      <c r="Z45" s="248"/>
      <c r="AA45" s="249"/>
      <c r="AB45" s="247"/>
      <c r="AC45" s="247">
        <v>120000</v>
      </c>
      <c r="AD45" s="246"/>
      <c r="AE45" s="247"/>
      <c r="AF45" s="248"/>
      <c r="AG45" s="246"/>
      <c r="AH45" s="247"/>
      <c r="AI45" s="248"/>
      <c r="AJ45" s="246"/>
      <c r="AK45" s="247"/>
      <c r="AL45" s="247"/>
      <c r="AM45" s="252"/>
      <c r="AN45" s="253"/>
      <c r="AO45" s="254"/>
      <c r="AP45" s="820" t="s">
        <v>159</v>
      </c>
      <c r="AQ45" s="821" t="s">
        <v>118</v>
      </c>
      <c r="AR45" s="821"/>
      <c r="AS45" s="823"/>
      <c r="AT45" s="823"/>
    </row>
    <row r="46" spans="1:46" s="173" customFormat="1" ht="15.5" x14ac:dyDescent="0.35">
      <c r="A46" s="816" t="s">
        <v>100</v>
      </c>
      <c r="B46" s="817" t="s">
        <v>145</v>
      </c>
      <c r="C46" s="817"/>
      <c r="D46" s="818" t="s">
        <v>146</v>
      </c>
      <c r="E46" s="818" t="s">
        <v>103</v>
      </c>
      <c r="F46" s="818" t="s">
        <v>104</v>
      </c>
      <c r="G46" s="825" t="s">
        <v>127</v>
      </c>
      <c r="H46" s="818" t="s">
        <v>160</v>
      </c>
      <c r="I46" s="818" t="s">
        <v>156</v>
      </c>
      <c r="J46" s="817" t="s">
        <v>161</v>
      </c>
      <c r="K46" s="818" t="s">
        <v>162</v>
      </c>
      <c r="L46" s="819" t="s">
        <v>110</v>
      </c>
      <c r="M46" s="818">
        <v>1</v>
      </c>
      <c r="N46" s="818"/>
      <c r="O46" s="818" t="s">
        <v>111</v>
      </c>
      <c r="P46" s="818" t="s">
        <v>112</v>
      </c>
      <c r="Q46" s="276">
        <f t="shared" si="1"/>
        <v>280000</v>
      </c>
      <c r="R46" s="277">
        <f t="shared" si="11"/>
        <v>0</v>
      </c>
      <c r="S46" s="287">
        <f t="shared" si="12"/>
        <v>200000</v>
      </c>
      <c r="T46" s="287">
        <f t="shared" si="13"/>
        <v>80000</v>
      </c>
      <c r="U46" s="287">
        <f t="shared" si="14"/>
        <v>0</v>
      </c>
      <c r="V46" s="288">
        <f t="shared" si="15"/>
        <v>0</v>
      </c>
      <c r="W46" s="289">
        <f t="shared" si="10"/>
        <v>0</v>
      </c>
      <c r="X46" s="246"/>
      <c r="Y46" s="247"/>
      <c r="Z46" s="248"/>
      <c r="AA46" s="249">
        <v>200000</v>
      </c>
      <c r="AB46" s="247"/>
      <c r="AC46" s="247"/>
      <c r="AD46" s="246">
        <v>80000</v>
      </c>
      <c r="AE46" s="247"/>
      <c r="AF46" s="248"/>
      <c r="AG46" s="246"/>
      <c r="AH46" s="247"/>
      <c r="AI46" s="248"/>
      <c r="AJ46" s="246"/>
      <c r="AK46" s="247"/>
      <c r="AL46" s="247"/>
      <c r="AM46" s="252"/>
      <c r="AN46" s="253"/>
      <c r="AO46" s="254"/>
      <c r="AP46" s="820" t="s">
        <v>163</v>
      </c>
      <c r="AQ46" s="821" t="s">
        <v>118</v>
      </c>
      <c r="AR46" s="821"/>
      <c r="AS46" s="823"/>
      <c r="AT46" s="823"/>
    </row>
    <row r="47" spans="1:46" s="173" customFormat="1" ht="15.5" x14ac:dyDescent="0.35">
      <c r="A47" s="816" t="s">
        <v>100</v>
      </c>
      <c r="B47" s="817" t="s">
        <v>124</v>
      </c>
      <c r="C47" s="817"/>
      <c r="D47" s="818" t="s">
        <v>125</v>
      </c>
      <c r="E47" s="818" t="s">
        <v>103</v>
      </c>
      <c r="F47" s="818" t="s">
        <v>104</v>
      </c>
      <c r="G47" s="825" t="s">
        <v>127</v>
      </c>
      <c r="H47" s="818" t="s">
        <v>106</v>
      </c>
      <c r="I47" s="818" t="s">
        <v>156</v>
      </c>
      <c r="J47" s="817" t="s">
        <v>861</v>
      </c>
      <c r="K47" s="818" t="s">
        <v>165</v>
      </c>
      <c r="L47" s="819" t="s">
        <v>110</v>
      </c>
      <c r="M47" s="818">
        <v>1</v>
      </c>
      <c r="N47" s="818"/>
      <c r="O47" s="818" t="s">
        <v>111</v>
      </c>
      <c r="P47" s="818" t="s">
        <v>112</v>
      </c>
      <c r="Q47" s="276">
        <f t="shared" si="1"/>
        <v>246600</v>
      </c>
      <c r="R47" s="277">
        <f t="shared" si="11"/>
        <v>0</v>
      </c>
      <c r="S47" s="287">
        <f t="shared" si="12"/>
        <v>55000</v>
      </c>
      <c r="T47" s="287">
        <f t="shared" si="13"/>
        <v>55000</v>
      </c>
      <c r="U47" s="287">
        <f t="shared" si="14"/>
        <v>66500</v>
      </c>
      <c r="V47" s="288">
        <f t="shared" si="15"/>
        <v>70100</v>
      </c>
      <c r="W47" s="289">
        <f t="shared" si="10"/>
        <v>0</v>
      </c>
      <c r="X47" s="246"/>
      <c r="Y47" s="247">
        <v>0</v>
      </c>
      <c r="Z47" s="248"/>
      <c r="AA47" s="249"/>
      <c r="AB47" s="874">
        <v>55000</v>
      </c>
      <c r="AC47" s="247"/>
      <c r="AD47" s="246"/>
      <c r="AE47" s="874">
        <v>55000</v>
      </c>
      <c r="AF47" s="248"/>
      <c r="AG47" s="246"/>
      <c r="AH47" s="247">
        <v>66500</v>
      </c>
      <c r="AI47" s="248"/>
      <c r="AJ47" s="246"/>
      <c r="AK47" s="247">
        <v>70100</v>
      </c>
      <c r="AL47" s="247"/>
      <c r="AM47" s="252"/>
      <c r="AN47" s="253"/>
      <c r="AO47" s="254"/>
      <c r="AP47" s="820"/>
      <c r="AQ47" s="821" t="s">
        <v>118</v>
      </c>
      <c r="AR47" s="821" t="s">
        <v>166</v>
      </c>
      <c r="AS47" s="823"/>
      <c r="AT47" s="823"/>
    </row>
    <row r="48" spans="1:46" s="221" customFormat="1" ht="15.5" x14ac:dyDescent="0.35">
      <c r="A48" s="816" t="s">
        <v>100</v>
      </c>
      <c r="B48" s="817" t="s">
        <v>145</v>
      </c>
      <c r="C48" s="817"/>
      <c r="D48" s="818" t="s">
        <v>167</v>
      </c>
      <c r="E48" s="818" t="s">
        <v>103</v>
      </c>
      <c r="F48" s="818" t="s">
        <v>104</v>
      </c>
      <c r="G48" s="825" t="s">
        <v>168</v>
      </c>
      <c r="H48" s="817" t="s">
        <v>106</v>
      </c>
      <c r="I48" s="818" t="s">
        <v>156</v>
      </c>
      <c r="J48" s="817" t="s">
        <v>169</v>
      </c>
      <c r="K48" s="818" t="s">
        <v>170</v>
      </c>
      <c r="L48" s="819" t="s">
        <v>171</v>
      </c>
      <c r="M48" s="818">
        <v>1</v>
      </c>
      <c r="N48" s="818"/>
      <c r="O48" s="818" t="s">
        <v>111</v>
      </c>
      <c r="P48" s="818" t="s">
        <v>112</v>
      </c>
      <c r="Q48" s="276">
        <f t="shared" si="1"/>
        <v>488800</v>
      </c>
      <c r="R48" s="277">
        <f t="shared" si="11"/>
        <v>0</v>
      </c>
      <c r="S48" s="287">
        <f t="shared" si="12"/>
        <v>150000</v>
      </c>
      <c r="T48" s="287">
        <f t="shared" si="13"/>
        <v>0</v>
      </c>
      <c r="U48" s="287">
        <f t="shared" si="14"/>
        <v>165300</v>
      </c>
      <c r="V48" s="288">
        <f t="shared" si="15"/>
        <v>173500</v>
      </c>
      <c r="W48" s="289">
        <f t="shared" si="10"/>
        <v>0</v>
      </c>
      <c r="X48" s="246"/>
      <c r="Y48" s="247"/>
      <c r="Z48" s="248"/>
      <c r="AA48" s="249">
        <v>150000</v>
      </c>
      <c r="AB48" s="247"/>
      <c r="AC48" s="247"/>
      <c r="AD48" s="875">
        <v>0</v>
      </c>
      <c r="AE48" s="247"/>
      <c r="AF48" s="248"/>
      <c r="AG48" s="246">
        <v>165300</v>
      </c>
      <c r="AH48" s="247"/>
      <c r="AI48" s="248"/>
      <c r="AJ48" s="246">
        <v>173500</v>
      </c>
      <c r="AK48" s="247"/>
      <c r="AL48" s="247"/>
      <c r="AM48" s="252"/>
      <c r="AN48" s="253"/>
      <c r="AO48" s="254"/>
      <c r="AP48" s="820" t="s">
        <v>172</v>
      </c>
      <c r="AQ48" s="821" t="s">
        <v>134</v>
      </c>
      <c r="AR48" s="821" t="s">
        <v>173</v>
      </c>
      <c r="AS48" s="823"/>
      <c r="AT48" s="823"/>
    </row>
    <row r="49" spans="1:46" s="173" customFormat="1" ht="15.5" x14ac:dyDescent="0.35">
      <c r="A49" s="816" t="s">
        <v>100</v>
      </c>
      <c r="B49" s="817" t="s">
        <v>124</v>
      </c>
      <c r="C49" s="817"/>
      <c r="D49" s="818" t="s">
        <v>125</v>
      </c>
      <c r="E49" s="818" t="s">
        <v>103</v>
      </c>
      <c r="F49" s="818" t="s">
        <v>126</v>
      </c>
      <c r="G49" s="825" t="s">
        <v>127</v>
      </c>
      <c r="H49" s="817" t="s">
        <v>106</v>
      </c>
      <c r="I49" s="818" t="s">
        <v>156</v>
      </c>
      <c r="J49" s="817" t="s">
        <v>174</v>
      </c>
      <c r="K49" s="818" t="s">
        <v>175</v>
      </c>
      <c r="L49" s="819" t="s">
        <v>176</v>
      </c>
      <c r="M49" s="818">
        <v>1</v>
      </c>
      <c r="N49" s="818"/>
      <c r="O49" s="818" t="s">
        <v>111</v>
      </c>
      <c r="P49" s="818" t="s">
        <v>112</v>
      </c>
      <c r="Q49" s="276">
        <f t="shared" si="1"/>
        <v>269200</v>
      </c>
      <c r="R49" s="277">
        <f t="shared" si="11"/>
        <v>0</v>
      </c>
      <c r="S49" s="287">
        <f t="shared" si="12"/>
        <v>66000</v>
      </c>
      <c r="T49" s="287">
        <f t="shared" si="13"/>
        <v>66000</v>
      </c>
      <c r="U49" s="287">
        <f t="shared" si="14"/>
        <v>67000</v>
      </c>
      <c r="V49" s="288">
        <f t="shared" si="15"/>
        <v>70200</v>
      </c>
      <c r="W49" s="289">
        <f t="shared" si="10"/>
        <v>0</v>
      </c>
      <c r="X49" s="246"/>
      <c r="Y49" s="247"/>
      <c r="Z49" s="248"/>
      <c r="AA49" s="249"/>
      <c r="AB49" s="874">
        <v>56000</v>
      </c>
      <c r="AC49" s="247">
        <v>10000</v>
      </c>
      <c r="AD49" s="246"/>
      <c r="AE49" s="874">
        <v>56000</v>
      </c>
      <c r="AF49" s="248">
        <v>10000</v>
      </c>
      <c r="AG49" s="246"/>
      <c r="AH49" s="582">
        <v>64000</v>
      </c>
      <c r="AI49" s="586">
        <v>3000</v>
      </c>
      <c r="AJ49" s="246"/>
      <c r="AK49" s="582">
        <v>67200</v>
      </c>
      <c r="AL49" s="582">
        <v>3000</v>
      </c>
      <c r="AM49" s="252"/>
      <c r="AN49" s="253"/>
      <c r="AO49" s="254"/>
      <c r="AP49" s="820" t="s">
        <v>177</v>
      </c>
      <c r="AQ49" s="821" t="s">
        <v>134</v>
      </c>
      <c r="AR49" s="821" t="s">
        <v>173</v>
      </c>
      <c r="AS49" s="823"/>
      <c r="AT49" s="823"/>
    </row>
    <row r="50" spans="1:46" s="542" customFormat="1" ht="16" thickBot="1" x14ac:dyDescent="0.4">
      <c r="A50" s="816" t="s">
        <v>100</v>
      </c>
      <c r="B50" s="826" t="s">
        <v>145</v>
      </c>
      <c r="C50" s="826"/>
      <c r="D50" s="827" t="s">
        <v>167</v>
      </c>
      <c r="E50" s="827" t="s">
        <v>103</v>
      </c>
      <c r="F50" s="827" t="s">
        <v>104</v>
      </c>
      <c r="G50" s="828" t="s">
        <v>168</v>
      </c>
      <c r="H50" s="826" t="s">
        <v>106</v>
      </c>
      <c r="I50" s="827" t="s">
        <v>156</v>
      </c>
      <c r="J50" s="829" t="s">
        <v>179</v>
      </c>
      <c r="K50" s="827" t="s">
        <v>180</v>
      </c>
      <c r="L50" s="830" t="s">
        <v>171</v>
      </c>
      <c r="M50" s="827">
        <v>1</v>
      </c>
      <c r="N50" s="827"/>
      <c r="O50" s="827" t="s">
        <v>111</v>
      </c>
      <c r="P50" s="827" t="s">
        <v>112</v>
      </c>
      <c r="Q50" s="530">
        <f t="shared" si="1"/>
        <v>150000</v>
      </c>
      <c r="R50" s="531">
        <f t="shared" si="11"/>
        <v>0</v>
      </c>
      <c r="S50" s="532">
        <f t="shared" si="12"/>
        <v>50000</v>
      </c>
      <c r="T50" s="532">
        <f t="shared" si="13"/>
        <v>0</v>
      </c>
      <c r="U50" s="532">
        <f t="shared" si="14"/>
        <v>50000</v>
      </c>
      <c r="V50" s="533">
        <f t="shared" si="15"/>
        <v>50000</v>
      </c>
      <c r="W50" s="534">
        <f t="shared" si="10"/>
        <v>0</v>
      </c>
      <c r="X50" s="535"/>
      <c r="Y50" s="536"/>
      <c r="Z50" s="537"/>
      <c r="AA50" s="538"/>
      <c r="AB50" s="536"/>
      <c r="AC50" s="536">
        <v>50000</v>
      </c>
      <c r="AD50" s="535"/>
      <c r="AE50" s="536"/>
      <c r="AF50" s="876">
        <v>0</v>
      </c>
      <c r="AG50" s="535"/>
      <c r="AH50" s="536"/>
      <c r="AI50" s="537">
        <v>50000</v>
      </c>
      <c r="AJ50" s="535"/>
      <c r="AK50" s="536"/>
      <c r="AL50" s="536">
        <v>50000</v>
      </c>
      <c r="AM50" s="539"/>
      <c r="AN50" s="540"/>
      <c r="AO50" s="541"/>
      <c r="AP50" s="831" t="s">
        <v>181</v>
      </c>
      <c r="AQ50" s="832" t="s">
        <v>134</v>
      </c>
      <c r="AR50" s="821" t="s">
        <v>173</v>
      </c>
      <c r="AS50" s="833"/>
      <c r="AT50" s="833"/>
    </row>
    <row r="51" spans="1:46" s="529" customFormat="1" ht="72.5" x14ac:dyDescent="0.35">
      <c r="A51" s="816" t="s">
        <v>100</v>
      </c>
      <c r="B51" s="242" t="s">
        <v>182</v>
      </c>
      <c r="C51" s="242"/>
      <c r="D51" s="243" t="s">
        <v>183</v>
      </c>
      <c r="E51" s="243" t="s">
        <v>184</v>
      </c>
      <c r="F51" s="243" t="s">
        <v>185</v>
      </c>
      <c r="G51" s="243" t="s">
        <v>127</v>
      </c>
      <c r="H51" s="528" t="s">
        <v>186</v>
      </c>
      <c r="I51" s="909" t="s">
        <v>187</v>
      </c>
      <c r="J51" s="936" t="s">
        <v>188</v>
      </c>
      <c r="K51" s="911" t="s">
        <v>189</v>
      </c>
      <c r="L51" s="806"/>
      <c r="M51" s="647">
        <v>1</v>
      </c>
      <c r="N51" s="243"/>
      <c r="O51" s="243" t="s">
        <v>111</v>
      </c>
      <c r="P51" s="243" t="s">
        <v>190</v>
      </c>
      <c r="Q51" s="276">
        <f t="shared" si="1"/>
        <v>710000</v>
      </c>
      <c r="R51" s="277">
        <f t="shared" si="11"/>
        <v>0</v>
      </c>
      <c r="S51" s="287">
        <f t="shared" si="12"/>
        <v>0</v>
      </c>
      <c r="T51" s="287">
        <f t="shared" si="13"/>
        <v>210000</v>
      </c>
      <c r="U51" s="287">
        <f t="shared" si="14"/>
        <v>250000</v>
      </c>
      <c r="V51" s="287">
        <f t="shared" si="15"/>
        <v>250000</v>
      </c>
      <c r="W51" s="289">
        <f t="shared" si="10"/>
        <v>0</v>
      </c>
      <c r="X51" s="246"/>
      <c r="Y51" s="247"/>
      <c r="Z51" s="248"/>
      <c r="AA51" s="249"/>
      <c r="AB51" s="247"/>
      <c r="AC51" s="247"/>
      <c r="AD51" s="246"/>
      <c r="AE51" s="247">
        <v>189000</v>
      </c>
      <c r="AF51" s="248">
        <v>21000</v>
      </c>
      <c r="AG51" s="875">
        <v>0</v>
      </c>
      <c r="AH51" s="874">
        <f>378000-149000</f>
        <v>229000</v>
      </c>
      <c r="AI51" s="248">
        <f>SUM(42000/2)</f>
        <v>21000</v>
      </c>
      <c r="AJ51" s="246"/>
      <c r="AK51" s="874">
        <f>378000-149000</f>
        <v>229000</v>
      </c>
      <c r="AL51" s="247">
        <f>SUM(42000/2)</f>
        <v>21000</v>
      </c>
      <c r="AM51" s="543"/>
      <c r="AN51" s="544"/>
      <c r="AO51" s="248"/>
      <c r="AP51" s="256"/>
      <c r="AQ51" s="250"/>
      <c r="AR51" s="250"/>
      <c r="AS51" s="646" t="s">
        <v>191</v>
      </c>
      <c r="AT51" s="250"/>
    </row>
    <row r="52" spans="1:46" s="173" customFormat="1" ht="58" x14ac:dyDescent="0.35">
      <c r="A52" s="816" t="s">
        <v>100</v>
      </c>
      <c r="B52" s="242" t="s">
        <v>192</v>
      </c>
      <c r="C52" s="242"/>
      <c r="D52" s="243" t="s">
        <v>193</v>
      </c>
      <c r="E52" s="243" t="s">
        <v>103</v>
      </c>
      <c r="F52" s="243" t="s">
        <v>194</v>
      </c>
      <c r="G52" s="244" t="s">
        <v>168</v>
      </c>
      <c r="H52" s="242" t="s">
        <v>195</v>
      </c>
      <c r="I52" s="909" t="s">
        <v>196</v>
      </c>
      <c r="J52" s="936" t="s">
        <v>197</v>
      </c>
      <c r="K52" s="911" t="s">
        <v>198</v>
      </c>
      <c r="L52" s="806"/>
      <c r="M52" s="243">
        <v>1</v>
      </c>
      <c r="N52" s="243"/>
      <c r="O52" s="243" t="s">
        <v>111</v>
      </c>
      <c r="P52" s="243" t="s">
        <v>190</v>
      </c>
      <c r="Q52" s="276">
        <f t="shared" si="1"/>
        <v>1444905.9893561399</v>
      </c>
      <c r="R52" s="277">
        <f t="shared" si="11"/>
        <v>0</v>
      </c>
      <c r="S52" s="287">
        <f t="shared" si="12"/>
        <v>0</v>
      </c>
      <c r="T52" s="287">
        <f t="shared" si="13"/>
        <v>0</v>
      </c>
      <c r="U52" s="287">
        <f t="shared" si="14"/>
        <v>0</v>
      </c>
      <c r="V52" s="288">
        <f t="shared" si="15"/>
        <v>0</v>
      </c>
      <c r="W52" s="289">
        <f t="shared" si="10"/>
        <v>1444905.9893561399</v>
      </c>
      <c r="X52" s="246"/>
      <c r="Y52" s="247"/>
      <c r="Z52" s="248"/>
      <c r="AA52" s="249"/>
      <c r="AB52" s="247"/>
      <c r="AC52" s="247"/>
      <c r="AD52" s="246"/>
      <c r="AE52" s="247"/>
      <c r="AF52" s="248"/>
      <c r="AG52" s="246"/>
      <c r="AH52" s="247"/>
      <c r="AI52" s="248"/>
      <c r="AJ52" s="246"/>
      <c r="AK52" s="247"/>
      <c r="AL52" s="247"/>
      <c r="AM52" s="252"/>
      <c r="AN52" s="253">
        <v>650207.69521026302</v>
      </c>
      <c r="AO52" s="254">
        <v>794698.29414587689</v>
      </c>
      <c r="AP52" s="256" t="s">
        <v>199</v>
      </c>
      <c r="AQ52" s="250" t="s">
        <v>114</v>
      </c>
      <c r="AR52" s="640"/>
      <c r="AS52" s="641" t="s">
        <v>200</v>
      </c>
      <c r="AT52" s="637" t="s">
        <v>201</v>
      </c>
    </row>
    <row r="53" spans="1:46" s="221" customFormat="1" ht="72.5" x14ac:dyDescent="0.35">
      <c r="A53" s="816" t="s">
        <v>100</v>
      </c>
      <c r="B53" s="242" t="s">
        <v>192</v>
      </c>
      <c r="C53" s="242"/>
      <c r="D53" s="243" t="s">
        <v>202</v>
      </c>
      <c r="E53" s="243" t="s">
        <v>103</v>
      </c>
      <c r="F53" s="243" t="s">
        <v>194</v>
      </c>
      <c r="G53" s="244" t="s">
        <v>168</v>
      </c>
      <c r="H53" s="242" t="s">
        <v>195</v>
      </c>
      <c r="I53" s="909" t="s">
        <v>203</v>
      </c>
      <c r="J53" s="936" t="s">
        <v>204</v>
      </c>
      <c r="K53" s="911" t="s">
        <v>205</v>
      </c>
      <c r="L53" s="806"/>
      <c r="M53" s="243">
        <v>2</v>
      </c>
      <c r="N53" s="243"/>
      <c r="O53" s="243" t="s">
        <v>111</v>
      </c>
      <c r="P53" s="243" t="s">
        <v>190</v>
      </c>
      <c r="Q53" s="276">
        <f t="shared" si="1"/>
        <v>55898812</v>
      </c>
      <c r="R53" s="277">
        <f t="shared" si="11"/>
        <v>0</v>
      </c>
      <c r="S53" s="287">
        <f t="shared" si="12"/>
        <v>0</v>
      </c>
      <c r="T53" s="287">
        <f t="shared" si="13"/>
        <v>7655327</v>
      </c>
      <c r="U53" s="287">
        <f t="shared" si="14"/>
        <v>8428984</v>
      </c>
      <c r="V53" s="288">
        <f t="shared" si="15"/>
        <v>14987046</v>
      </c>
      <c r="W53" s="289">
        <f t="shared" si="10"/>
        <v>24827455</v>
      </c>
      <c r="X53" s="246"/>
      <c r="Y53" s="247"/>
      <c r="Z53" s="248"/>
      <c r="AA53" s="249"/>
      <c r="AB53" s="247"/>
      <c r="AC53" s="247"/>
      <c r="AD53" s="246"/>
      <c r="AE53" s="247">
        <v>2344897.15</v>
      </c>
      <c r="AF53" s="248">
        <v>5310429.8499999996</v>
      </c>
      <c r="AG53" s="246"/>
      <c r="AH53" s="247">
        <v>2693042.8</v>
      </c>
      <c r="AI53" s="248">
        <v>5735941.2000000002</v>
      </c>
      <c r="AJ53" s="246"/>
      <c r="AK53" s="247">
        <v>5644170.7000000002</v>
      </c>
      <c r="AL53" s="247">
        <v>9342875.3000000007</v>
      </c>
      <c r="AM53" s="252"/>
      <c r="AN53" s="253">
        <v>10072354.75</v>
      </c>
      <c r="AO53" s="254">
        <v>14755100.25</v>
      </c>
      <c r="AP53" s="256" t="s">
        <v>206</v>
      </c>
      <c r="AQ53" s="250" t="s">
        <v>114</v>
      </c>
      <c r="AR53" s="640"/>
      <c r="AS53" s="641" t="s">
        <v>200</v>
      </c>
      <c r="AT53" s="637" t="s">
        <v>201</v>
      </c>
    </row>
    <row r="54" spans="1:46" s="221" customFormat="1" ht="72.5" x14ac:dyDescent="0.35">
      <c r="A54" s="816" t="s">
        <v>100</v>
      </c>
      <c r="B54" s="242" t="s">
        <v>192</v>
      </c>
      <c r="C54" s="242"/>
      <c r="D54" s="243" t="s">
        <v>202</v>
      </c>
      <c r="E54" s="243" t="s">
        <v>103</v>
      </c>
      <c r="F54" s="243" t="s">
        <v>194</v>
      </c>
      <c r="G54" s="244" t="s">
        <v>168</v>
      </c>
      <c r="H54" s="242" t="s">
        <v>195</v>
      </c>
      <c r="I54" s="909" t="s">
        <v>203</v>
      </c>
      <c r="J54" s="936" t="s">
        <v>207</v>
      </c>
      <c r="K54" s="911" t="s">
        <v>205</v>
      </c>
      <c r="L54" s="806"/>
      <c r="M54" s="243">
        <v>2</v>
      </c>
      <c r="N54" s="243"/>
      <c r="O54" s="243" t="s">
        <v>111</v>
      </c>
      <c r="P54" s="243" t="s">
        <v>190</v>
      </c>
      <c r="Q54" s="276">
        <f t="shared" ref="Q54" si="16">SUM(R54:W54)</f>
        <v>8000000</v>
      </c>
      <c r="R54" s="277">
        <f t="shared" ref="R54" si="17">SUM(X54:Z54)</f>
        <v>0</v>
      </c>
      <c r="S54" s="287">
        <f t="shared" ref="S54" si="18">SUM(AA54:AC54)</f>
        <v>0</v>
      </c>
      <c r="T54" s="287">
        <f t="shared" ref="T54" si="19">SUM(AD54:AF54)</f>
        <v>2000000</v>
      </c>
      <c r="U54" s="287">
        <f t="shared" ref="U54" si="20">SUM(AG54:AI54)</f>
        <v>2000000</v>
      </c>
      <c r="V54" s="288">
        <f t="shared" ref="V54" si="21">SUM(AJ54:AL54)</f>
        <v>2000000</v>
      </c>
      <c r="W54" s="289">
        <f t="shared" ref="W54" si="22">SUM(AM54:AO54)</f>
        <v>2000000</v>
      </c>
      <c r="X54" s="246"/>
      <c r="Y54" s="247"/>
      <c r="Z54" s="248"/>
      <c r="AA54" s="249"/>
      <c r="AB54" s="247"/>
      <c r="AC54" s="247"/>
      <c r="AD54" s="246"/>
      <c r="AE54" s="247">
        <v>2000000</v>
      </c>
      <c r="AF54" s="248"/>
      <c r="AG54" s="246"/>
      <c r="AH54" s="247">
        <v>2000000</v>
      </c>
      <c r="AI54" s="248"/>
      <c r="AJ54" s="246"/>
      <c r="AK54" s="247">
        <v>2000000</v>
      </c>
      <c r="AL54" s="247"/>
      <c r="AM54" s="252"/>
      <c r="AN54" s="247">
        <v>2000000</v>
      </c>
      <c r="AO54" s="254"/>
      <c r="AP54" s="256" t="s">
        <v>206</v>
      </c>
      <c r="AQ54" s="250" t="s">
        <v>114</v>
      </c>
      <c r="AR54" s="640"/>
      <c r="AS54" s="641" t="s">
        <v>200</v>
      </c>
      <c r="AT54" s="637" t="s">
        <v>201</v>
      </c>
    </row>
    <row r="55" spans="1:46" s="221" customFormat="1" ht="72.5" x14ac:dyDescent="0.35">
      <c r="A55" s="816" t="s">
        <v>100</v>
      </c>
      <c r="B55" s="242" t="s">
        <v>192</v>
      </c>
      <c r="C55" s="242"/>
      <c r="D55" s="243" t="s">
        <v>193</v>
      </c>
      <c r="E55" s="243" t="s">
        <v>103</v>
      </c>
      <c r="F55" s="243" t="s">
        <v>194</v>
      </c>
      <c r="G55" s="244" t="s">
        <v>168</v>
      </c>
      <c r="H55" s="242" t="s">
        <v>195</v>
      </c>
      <c r="I55" s="909" t="s">
        <v>208</v>
      </c>
      <c r="J55" s="936" t="s">
        <v>209</v>
      </c>
      <c r="K55" s="911" t="s">
        <v>210</v>
      </c>
      <c r="L55" s="806"/>
      <c r="M55" s="243">
        <v>3</v>
      </c>
      <c r="N55" s="243"/>
      <c r="O55" s="243" t="s">
        <v>111</v>
      </c>
      <c r="P55" s="243" t="s">
        <v>190</v>
      </c>
      <c r="Q55" s="276">
        <f t="shared" si="1"/>
        <v>14492359.601059001</v>
      </c>
      <c r="R55" s="277">
        <f t="shared" si="11"/>
        <v>0</v>
      </c>
      <c r="S55" s="287">
        <f t="shared" si="12"/>
        <v>0</v>
      </c>
      <c r="T55" s="287">
        <f t="shared" si="13"/>
        <v>3144621</v>
      </c>
      <c r="U55" s="287">
        <f t="shared" si="14"/>
        <v>3466114.8950000005</v>
      </c>
      <c r="V55" s="288">
        <f t="shared" si="15"/>
        <v>3826128.0126500004</v>
      </c>
      <c r="W55" s="289">
        <f t="shared" si="10"/>
        <v>4055495.6934090001</v>
      </c>
      <c r="X55" s="246"/>
      <c r="Y55" s="247"/>
      <c r="Z55" s="248"/>
      <c r="AA55" s="249"/>
      <c r="AB55" s="247"/>
      <c r="AC55" s="247"/>
      <c r="AD55" s="246"/>
      <c r="AE55" s="247">
        <v>2246234.7000000002</v>
      </c>
      <c r="AF55" s="248">
        <v>898386.3</v>
      </c>
      <c r="AG55" s="246"/>
      <c r="AH55" s="247">
        <v>2474280.4265000001</v>
      </c>
      <c r="AI55" s="248">
        <v>991834.46850000042</v>
      </c>
      <c r="AJ55" s="246"/>
      <c r="AK55" s="247">
        <v>2729289.6088550002</v>
      </c>
      <c r="AL55" s="247">
        <v>1096838.4037950002</v>
      </c>
      <c r="AM55" s="252"/>
      <c r="AN55" s="253">
        <v>2892846.9853862999</v>
      </c>
      <c r="AO55" s="254">
        <v>1162648.7080227002</v>
      </c>
      <c r="AP55" s="256"/>
      <c r="AQ55" s="250" t="s">
        <v>114</v>
      </c>
      <c r="AR55" s="640"/>
      <c r="AS55" s="641" t="s">
        <v>200</v>
      </c>
      <c r="AT55" s="637" t="s">
        <v>201</v>
      </c>
    </row>
    <row r="56" spans="1:46" s="173" customFormat="1" ht="87" x14ac:dyDescent="0.35">
      <c r="A56" s="816" t="s">
        <v>100</v>
      </c>
      <c r="B56" s="242" t="s">
        <v>192</v>
      </c>
      <c r="C56" s="242"/>
      <c r="D56" s="243" t="s">
        <v>211</v>
      </c>
      <c r="E56" s="243" t="s">
        <v>103</v>
      </c>
      <c r="F56" s="243" t="s">
        <v>194</v>
      </c>
      <c r="G56" s="244" t="s">
        <v>168</v>
      </c>
      <c r="H56" s="243" t="s">
        <v>195</v>
      </c>
      <c r="I56" s="910" t="s">
        <v>212</v>
      </c>
      <c r="J56" s="961" t="s">
        <v>213</v>
      </c>
      <c r="K56" s="911" t="s">
        <v>214</v>
      </c>
      <c r="L56" s="806"/>
      <c r="M56" s="243">
        <v>6</v>
      </c>
      <c r="N56" s="243"/>
      <c r="O56" s="243" t="s">
        <v>111</v>
      </c>
      <c r="P56" s="243" t="s">
        <v>190</v>
      </c>
      <c r="Q56" s="276">
        <f t="shared" si="1"/>
        <v>1012384.8</v>
      </c>
      <c r="R56" s="277">
        <f t="shared" si="11"/>
        <v>0</v>
      </c>
      <c r="S56" s="287">
        <f t="shared" si="12"/>
        <v>0</v>
      </c>
      <c r="T56" s="287">
        <f t="shared" si="13"/>
        <v>0</v>
      </c>
      <c r="U56" s="287">
        <f t="shared" si="14"/>
        <v>318000</v>
      </c>
      <c r="V56" s="288">
        <f t="shared" si="15"/>
        <v>337080</v>
      </c>
      <c r="W56" s="289">
        <f t="shared" si="10"/>
        <v>357304.8</v>
      </c>
      <c r="X56" s="246"/>
      <c r="Y56" s="247"/>
      <c r="Z56" s="248"/>
      <c r="AA56" s="249"/>
      <c r="AB56" s="247"/>
      <c r="AC56" s="247"/>
      <c r="AD56" s="246"/>
      <c r="AE56" s="962">
        <v>0</v>
      </c>
      <c r="AF56" s="248"/>
      <c r="AG56" s="246"/>
      <c r="AH56" s="874">
        <f>636000/2</f>
        <v>318000</v>
      </c>
      <c r="AI56" s="248"/>
      <c r="AJ56" s="246"/>
      <c r="AK56" s="874">
        <f>674160/2</f>
        <v>337080</v>
      </c>
      <c r="AL56" s="247"/>
      <c r="AM56" s="252"/>
      <c r="AN56" s="917">
        <f>714609.6/2</f>
        <v>357304.8</v>
      </c>
      <c r="AO56" s="254"/>
      <c r="AP56" s="256"/>
      <c r="AQ56" s="250" t="s">
        <v>215</v>
      </c>
      <c r="AR56" s="640"/>
      <c r="AS56" s="641" t="s">
        <v>216</v>
      </c>
      <c r="AT56" s="637" t="s">
        <v>201</v>
      </c>
    </row>
    <row r="57" spans="1:46" s="221" customFormat="1" ht="58" x14ac:dyDescent="0.35">
      <c r="A57" s="816" t="s">
        <v>100</v>
      </c>
      <c r="B57" s="242" t="s">
        <v>192</v>
      </c>
      <c r="C57" s="242"/>
      <c r="D57" s="243" t="s">
        <v>193</v>
      </c>
      <c r="E57" s="243" t="s">
        <v>103</v>
      </c>
      <c r="F57" s="243" t="s">
        <v>194</v>
      </c>
      <c r="G57" s="244" t="s">
        <v>168</v>
      </c>
      <c r="H57" s="243" t="s">
        <v>195</v>
      </c>
      <c r="I57" s="910" t="s">
        <v>217</v>
      </c>
      <c r="J57" s="937" t="s">
        <v>218</v>
      </c>
      <c r="K57" s="911" t="s">
        <v>219</v>
      </c>
      <c r="L57" s="806"/>
      <c r="M57" s="243">
        <v>7</v>
      </c>
      <c r="N57" s="243"/>
      <c r="O57" s="243" t="s">
        <v>111</v>
      </c>
      <c r="P57" s="243" t="s">
        <v>190</v>
      </c>
      <c r="Q57" s="276">
        <f t="shared" si="1"/>
        <v>0</v>
      </c>
      <c r="R57" s="277">
        <f t="shared" si="11"/>
        <v>0</v>
      </c>
      <c r="S57" s="287">
        <f t="shared" si="12"/>
        <v>0</v>
      </c>
      <c r="T57" s="287">
        <f t="shared" si="13"/>
        <v>0</v>
      </c>
      <c r="U57" s="287">
        <f t="shared" si="14"/>
        <v>0</v>
      </c>
      <c r="V57" s="288">
        <f t="shared" si="15"/>
        <v>0</v>
      </c>
      <c r="W57" s="289">
        <f t="shared" si="10"/>
        <v>0</v>
      </c>
      <c r="X57" s="246"/>
      <c r="Y57" s="247"/>
      <c r="Z57" s="248"/>
      <c r="AA57" s="249"/>
      <c r="AB57" s="247"/>
      <c r="AC57" s="247"/>
      <c r="AD57" s="246"/>
      <c r="AE57" s="962">
        <v>0</v>
      </c>
      <c r="AF57" s="963">
        <v>0</v>
      </c>
      <c r="AG57" s="246"/>
      <c r="AH57" s="962">
        <v>0</v>
      </c>
      <c r="AI57" s="963">
        <v>0</v>
      </c>
      <c r="AJ57" s="246"/>
      <c r="AK57" s="962">
        <v>0</v>
      </c>
      <c r="AL57" s="963">
        <v>0</v>
      </c>
      <c r="AM57" s="252"/>
      <c r="AN57" s="962">
        <v>0</v>
      </c>
      <c r="AO57" s="963">
        <v>0</v>
      </c>
      <c r="AP57" s="256"/>
      <c r="AQ57" s="250" t="s">
        <v>114</v>
      </c>
      <c r="AR57" s="640"/>
      <c r="AS57" s="641" t="s">
        <v>200</v>
      </c>
      <c r="AT57" s="637" t="s">
        <v>201</v>
      </c>
    </row>
    <row r="58" spans="1:46" s="173" customFormat="1" ht="58" x14ac:dyDescent="0.35">
      <c r="A58" s="816" t="s">
        <v>100</v>
      </c>
      <c r="B58" s="242" t="s">
        <v>192</v>
      </c>
      <c r="C58" s="242"/>
      <c r="D58" s="243" t="s">
        <v>220</v>
      </c>
      <c r="E58" s="243" t="s">
        <v>103</v>
      </c>
      <c r="F58" s="243" t="s">
        <v>194</v>
      </c>
      <c r="G58" s="244" t="s">
        <v>168</v>
      </c>
      <c r="H58" s="243" t="s">
        <v>195</v>
      </c>
      <c r="I58" s="909" t="s">
        <v>221</v>
      </c>
      <c r="J58" s="936" t="s">
        <v>222</v>
      </c>
      <c r="K58" s="911" t="s">
        <v>223</v>
      </c>
      <c r="L58" s="806"/>
      <c r="M58" s="243">
        <v>4</v>
      </c>
      <c r="N58" s="243"/>
      <c r="O58" s="243" t="s">
        <v>111</v>
      </c>
      <c r="P58" s="243" t="s">
        <v>190</v>
      </c>
      <c r="Q58" s="276">
        <f t="shared" si="1"/>
        <v>1193500</v>
      </c>
      <c r="R58" s="277">
        <f t="shared" si="11"/>
        <v>0</v>
      </c>
      <c r="S58" s="287">
        <f t="shared" si="12"/>
        <v>0</v>
      </c>
      <c r="T58" s="287">
        <f t="shared" si="13"/>
        <v>219500</v>
      </c>
      <c r="U58" s="287">
        <f t="shared" si="14"/>
        <v>300500</v>
      </c>
      <c r="V58" s="288">
        <f t="shared" si="15"/>
        <v>333000</v>
      </c>
      <c r="W58" s="289">
        <f t="shared" si="10"/>
        <v>340500</v>
      </c>
      <c r="X58" s="246"/>
      <c r="Y58" s="247"/>
      <c r="Z58" s="248"/>
      <c r="AA58" s="249"/>
      <c r="AB58" s="247"/>
      <c r="AC58" s="247"/>
      <c r="AD58" s="246"/>
      <c r="AE58" s="874">
        <f>SUM(239000/2)</f>
        <v>119500</v>
      </c>
      <c r="AF58" s="916">
        <f>SUM(200000/2)</f>
        <v>100000</v>
      </c>
      <c r="AG58" s="246"/>
      <c r="AH58" s="874">
        <f>SUM(400000/2)</f>
        <v>200000</v>
      </c>
      <c r="AI58" s="916">
        <f>SUM(201000/2)</f>
        <v>100500</v>
      </c>
      <c r="AJ58" s="246"/>
      <c r="AK58" s="874">
        <f>SUM(506000/2)</f>
        <v>253000</v>
      </c>
      <c r="AL58" s="874">
        <f>SUM(160000/2)</f>
        <v>80000</v>
      </c>
      <c r="AM58" s="252"/>
      <c r="AN58" s="917">
        <f>SUM(521000/2)</f>
        <v>260500</v>
      </c>
      <c r="AO58" s="918">
        <f>SUM(160000/2)</f>
        <v>80000</v>
      </c>
      <c r="AP58" s="256"/>
      <c r="AQ58" s="250" t="s">
        <v>215</v>
      </c>
      <c r="AR58" s="640"/>
      <c r="AS58" s="641" t="s">
        <v>200</v>
      </c>
      <c r="AT58" s="637" t="s">
        <v>201</v>
      </c>
    </row>
    <row r="59" spans="1:46" s="221" customFormat="1" ht="58" x14ac:dyDescent="0.35">
      <c r="A59" s="816" t="s">
        <v>100</v>
      </c>
      <c r="B59" s="242" t="s">
        <v>192</v>
      </c>
      <c r="C59" s="242"/>
      <c r="D59" s="243" t="s">
        <v>193</v>
      </c>
      <c r="E59" s="243" t="s">
        <v>103</v>
      </c>
      <c r="F59" s="243" t="s">
        <v>194</v>
      </c>
      <c r="G59" s="244" t="s">
        <v>168</v>
      </c>
      <c r="H59" s="243" t="s">
        <v>195</v>
      </c>
      <c r="I59" s="910" t="s">
        <v>224</v>
      </c>
      <c r="J59" s="937" t="s">
        <v>225</v>
      </c>
      <c r="K59" s="911" t="s">
        <v>226</v>
      </c>
      <c r="L59" s="806"/>
      <c r="M59" s="243">
        <v>5</v>
      </c>
      <c r="N59" s="243"/>
      <c r="O59" s="243" t="s">
        <v>111</v>
      </c>
      <c r="P59" s="243" t="s">
        <v>190</v>
      </c>
      <c r="Q59" s="276">
        <f t="shared" si="1"/>
        <v>0</v>
      </c>
      <c r="R59" s="277">
        <f t="shared" si="11"/>
        <v>0</v>
      </c>
      <c r="S59" s="287">
        <f t="shared" si="12"/>
        <v>0</v>
      </c>
      <c r="T59" s="287">
        <f t="shared" si="13"/>
        <v>0</v>
      </c>
      <c r="U59" s="287">
        <f t="shared" si="14"/>
        <v>0</v>
      </c>
      <c r="V59" s="288">
        <f t="shared" si="15"/>
        <v>0</v>
      </c>
      <c r="W59" s="289">
        <f t="shared" si="10"/>
        <v>0</v>
      </c>
      <c r="X59" s="246"/>
      <c r="Y59" s="247"/>
      <c r="Z59" s="248"/>
      <c r="AA59" s="249"/>
      <c r="AB59" s="247"/>
      <c r="AC59" s="247"/>
      <c r="AD59" s="246"/>
      <c r="AE59" s="962">
        <v>0</v>
      </c>
      <c r="AF59" s="963">
        <v>0</v>
      </c>
      <c r="AG59" s="246"/>
      <c r="AH59" s="962">
        <v>0</v>
      </c>
      <c r="AI59" s="963">
        <v>0</v>
      </c>
      <c r="AJ59" s="246"/>
      <c r="AK59" s="962">
        <v>0</v>
      </c>
      <c r="AL59" s="963">
        <v>0</v>
      </c>
      <c r="AM59" s="252"/>
      <c r="AN59" s="962">
        <v>0</v>
      </c>
      <c r="AO59" s="963">
        <v>0</v>
      </c>
      <c r="AP59" s="256"/>
      <c r="AQ59" s="250" t="s">
        <v>215</v>
      </c>
      <c r="AR59" s="640"/>
      <c r="AS59" s="641" t="s">
        <v>200</v>
      </c>
      <c r="AT59" s="637" t="s">
        <v>201</v>
      </c>
    </row>
    <row r="60" spans="1:46" s="221" customFormat="1" ht="58" x14ac:dyDescent="0.35">
      <c r="A60" s="816" t="s">
        <v>100</v>
      </c>
      <c r="B60" s="242" t="s">
        <v>192</v>
      </c>
      <c r="C60" s="242"/>
      <c r="D60" s="243" t="s">
        <v>227</v>
      </c>
      <c r="E60" s="243" t="s">
        <v>103</v>
      </c>
      <c r="F60" s="243" t="s">
        <v>194</v>
      </c>
      <c r="G60" s="255" t="s">
        <v>168</v>
      </c>
      <c r="H60" s="243" t="s">
        <v>195</v>
      </c>
      <c r="I60" s="910" t="s">
        <v>228</v>
      </c>
      <c r="J60" s="936" t="s">
        <v>229</v>
      </c>
      <c r="K60" s="911" t="s">
        <v>230</v>
      </c>
      <c r="L60" s="806"/>
      <c r="M60" s="243">
        <v>8</v>
      </c>
      <c r="N60" s="243"/>
      <c r="O60" s="243" t="s">
        <v>111</v>
      </c>
      <c r="P60" s="243" t="s">
        <v>190</v>
      </c>
      <c r="Q60" s="276">
        <f t="shared" si="1"/>
        <v>0</v>
      </c>
      <c r="R60" s="277">
        <f t="shared" si="11"/>
        <v>0</v>
      </c>
      <c r="S60" s="287">
        <f t="shared" si="12"/>
        <v>0</v>
      </c>
      <c r="T60" s="287">
        <f t="shared" si="13"/>
        <v>0</v>
      </c>
      <c r="U60" s="287">
        <f t="shared" si="14"/>
        <v>0</v>
      </c>
      <c r="V60" s="288">
        <f t="shared" si="15"/>
        <v>0</v>
      </c>
      <c r="W60" s="289">
        <f t="shared" si="10"/>
        <v>0</v>
      </c>
      <c r="X60" s="246"/>
      <c r="Y60" s="247"/>
      <c r="Z60" s="248"/>
      <c r="AA60" s="249"/>
      <c r="AB60" s="247"/>
      <c r="AC60" s="247"/>
      <c r="AD60" s="875">
        <v>0</v>
      </c>
      <c r="AE60" s="962">
        <v>0</v>
      </c>
      <c r="AF60" s="963">
        <v>0</v>
      </c>
      <c r="AG60" s="246"/>
      <c r="AH60" s="962">
        <v>0</v>
      </c>
      <c r="AI60" s="963">
        <v>0</v>
      </c>
      <c r="AJ60" s="246"/>
      <c r="AK60" s="962">
        <v>0</v>
      </c>
      <c r="AL60" s="963">
        <v>0</v>
      </c>
      <c r="AM60" s="252"/>
      <c r="AN60" s="962">
        <v>0</v>
      </c>
      <c r="AO60" s="963">
        <v>0</v>
      </c>
      <c r="AP60" s="256"/>
      <c r="AQ60" s="250" t="s">
        <v>215</v>
      </c>
      <c r="AR60" s="640"/>
      <c r="AS60" s="641" t="s">
        <v>200</v>
      </c>
      <c r="AT60" s="637" t="s">
        <v>201</v>
      </c>
    </row>
    <row r="61" spans="1:46" s="221" customFormat="1" ht="15.5" x14ac:dyDescent="0.35">
      <c r="A61" s="816" t="s">
        <v>100</v>
      </c>
      <c r="B61" s="817" t="s">
        <v>182</v>
      </c>
      <c r="C61" s="817"/>
      <c r="D61" s="818" t="s">
        <v>231</v>
      </c>
      <c r="E61" s="818" t="s">
        <v>103</v>
      </c>
      <c r="F61" s="818" t="s">
        <v>119</v>
      </c>
      <c r="G61" s="825" t="s">
        <v>105</v>
      </c>
      <c r="H61" s="818" t="s">
        <v>232</v>
      </c>
      <c r="I61" s="834" t="s">
        <v>233</v>
      </c>
      <c r="J61" s="835" t="s">
        <v>234</v>
      </c>
      <c r="K61" s="818" t="s">
        <v>235</v>
      </c>
      <c r="L61" s="819" t="s">
        <v>176</v>
      </c>
      <c r="M61" s="836">
        <v>2</v>
      </c>
      <c r="N61" s="818"/>
      <c r="O61" s="818" t="s">
        <v>111</v>
      </c>
      <c r="P61" s="818" t="s">
        <v>112</v>
      </c>
      <c r="Q61" s="276">
        <f t="shared" si="1"/>
        <v>15000</v>
      </c>
      <c r="R61" s="277">
        <f t="shared" si="11"/>
        <v>0</v>
      </c>
      <c r="S61" s="287">
        <f t="shared" si="12"/>
        <v>15000</v>
      </c>
      <c r="T61" s="287">
        <f t="shared" si="13"/>
        <v>0</v>
      </c>
      <c r="U61" s="287">
        <f t="shared" si="14"/>
        <v>0</v>
      </c>
      <c r="V61" s="288">
        <f t="shared" si="15"/>
        <v>0</v>
      </c>
      <c r="W61" s="289">
        <f t="shared" si="10"/>
        <v>0</v>
      </c>
      <c r="X61" s="246"/>
      <c r="Y61" s="247"/>
      <c r="Z61" s="248"/>
      <c r="AA61" s="249"/>
      <c r="AB61" s="247"/>
      <c r="AC61" s="247">
        <v>15000</v>
      </c>
      <c r="AD61" s="246"/>
      <c r="AE61" s="247"/>
      <c r="AF61" s="248"/>
      <c r="AG61" s="246"/>
      <c r="AH61" s="247"/>
      <c r="AI61" s="248"/>
      <c r="AJ61" s="246"/>
      <c r="AK61" s="247"/>
      <c r="AL61" s="247"/>
      <c r="AM61" s="252"/>
      <c r="AN61" s="253"/>
      <c r="AO61" s="254"/>
      <c r="AP61" s="820" t="s">
        <v>236</v>
      </c>
      <c r="AQ61" s="837" t="s">
        <v>118</v>
      </c>
      <c r="AR61" s="837"/>
      <c r="AS61" s="838" t="s">
        <v>237</v>
      </c>
      <c r="AT61" s="823"/>
    </row>
    <row r="62" spans="1:46" s="221" customFormat="1" ht="15.5" x14ac:dyDescent="0.35">
      <c r="A62" s="816" t="s">
        <v>100</v>
      </c>
      <c r="B62" s="817" t="s">
        <v>100</v>
      </c>
      <c r="C62" s="507"/>
      <c r="D62" s="818" t="s">
        <v>238</v>
      </c>
      <c r="E62" s="818" t="s">
        <v>103</v>
      </c>
      <c r="F62" s="818" t="s">
        <v>119</v>
      </c>
      <c r="G62" s="839" t="s">
        <v>105</v>
      </c>
      <c r="H62" s="818" t="s">
        <v>239</v>
      </c>
      <c r="I62" s="818" t="s">
        <v>240</v>
      </c>
      <c r="J62" s="817" t="s">
        <v>241</v>
      </c>
      <c r="K62" s="818" t="s">
        <v>242</v>
      </c>
      <c r="L62" s="819" t="s">
        <v>110</v>
      </c>
      <c r="M62" s="818">
        <v>1</v>
      </c>
      <c r="N62" s="818"/>
      <c r="O62" s="818"/>
      <c r="P62" s="818" t="s">
        <v>112</v>
      </c>
      <c r="Q62" s="276">
        <f t="shared" si="1"/>
        <v>90000</v>
      </c>
      <c r="R62" s="277">
        <f t="shared" si="11"/>
        <v>0</v>
      </c>
      <c r="S62" s="287">
        <f t="shared" si="12"/>
        <v>30000</v>
      </c>
      <c r="T62" s="287">
        <f t="shared" si="13"/>
        <v>15000</v>
      </c>
      <c r="U62" s="287">
        <f t="shared" si="14"/>
        <v>15000</v>
      </c>
      <c r="V62" s="288">
        <f t="shared" si="15"/>
        <v>15000</v>
      </c>
      <c r="W62" s="289">
        <f t="shared" si="10"/>
        <v>15000</v>
      </c>
      <c r="X62" s="246"/>
      <c r="Y62" s="247"/>
      <c r="Z62" s="248"/>
      <c r="AA62" s="249"/>
      <c r="AB62" s="247"/>
      <c r="AC62" s="247">
        <v>30000</v>
      </c>
      <c r="AD62" s="246"/>
      <c r="AE62" s="247"/>
      <c r="AF62" s="248">
        <v>15000</v>
      </c>
      <c r="AG62" s="246"/>
      <c r="AH62" s="247"/>
      <c r="AI62" s="248">
        <v>15000</v>
      </c>
      <c r="AJ62" s="246"/>
      <c r="AK62" s="247"/>
      <c r="AL62" s="247">
        <v>15000</v>
      </c>
      <c r="AM62" s="252"/>
      <c r="AN62" s="253"/>
      <c r="AO62" s="254">
        <v>15000</v>
      </c>
      <c r="AP62" s="820" t="s">
        <v>243</v>
      </c>
      <c r="AQ62" s="837" t="s">
        <v>118</v>
      </c>
      <c r="AR62" s="837"/>
      <c r="AS62" s="823"/>
      <c r="AT62" s="823"/>
    </row>
    <row r="63" spans="1:46" s="526" customFormat="1" ht="116.5" thickBot="1" x14ac:dyDescent="0.4">
      <c r="A63" s="816" t="s">
        <v>100</v>
      </c>
      <c r="B63" s="545" t="s">
        <v>244</v>
      </c>
      <c r="C63" s="546" t="s">
        <v>245</v>
      </c>
      <c r="D63" s="546" t="s">
        <v>246</v>
      </c>
      <c r="E63" s="546" t="s">
        <v>103</v>
      </c>
      <c r="F63" s="628" t="s">
        <v>104</v>
      </c>
      <c r="G63" s="629" t="s">
        <v>127</v>
      </c>
      <c r="H63" s="546" t="s">
        <v>247</v>
      </c>
      <c r="I63" s="934" t="s">
        <v>248</v>
      </c>
      <c r="J63" s="943" t="s">
        <v>249</v>
      </c>
      <c r="K63" s="943" t="s">
        <v>250</v>
      </c>
      <c r="L63" s="807"/>
      <c r="M63" s="650">
        <v>2</v>
      </c>
      <c r="N63" s="546" t="s">
        <v>251</v>
      </c>
      <c r="O63" s="546" t="s">
        <v>245</v>
      </c>
      <c r="P63" s="546" t="s">
        <v>190</v>
      </c>
      <c r="Q63" s="276">
        <f t="shared" si="1"/>
        <v>243652.5</v>
      </c>
      <c r="R63" s="277">
        <f t="shared" si="11"/>
        <v>0</v>
      </c>
      <c r="S63" s="287">
        <f t="shared" si="12"/>
        <v>0</v>
      </c>
      <c r="T63" s="287">
        <f t="shared" si="13"/>
        <v>52500</v>
      </c>
      <c r="U63" s="287">
        <f t="shared" si="14"/>
        <v>57750</v>
      </c>
      <c r="V63" s="288">
        <f t="shared" si="15"/>
        <v>63525</v>
      </c>
      <c r="W63" s="289">
        <f t="shared" si="10"/>
        <v>69877.5</v>
      </c>
      <c r="X63" s="551"/>
      <c r="Y63" s="552"/>
      <c r="Z63" s="553"/>
      <c r="AA63" s="554"/>
      <c r="AB63" s="552"/>
      <c r="AC63" s="552"/>
      <c r="AD63" s="919"/>
      <c r="AE63" s="932">
        <f>SUM(105000/2)</f>
        <v>52500</v>
      </c>
      <c r="AF63" s="921"/>
      <c r="AG63" s="922"/>
      <c r="AH63" s="932">
        <f>SUM(115500/2)</f>
        <v>57750</v>
      </c>
      <c r="AI63" s="921"/>
      <c r="AJ63" s="922"/>
      <c r="AK63" s="932">
        <f>SUM(127050/2)</f>
        <v>63525</v>
      </c>
      <c r="AL63" s="923"/>
      <c r="AM63" s="924"/>
      <c r="AN63" s="933">
        <f>SUM(139755/2)</f>
        <v>69877.5</v>
      </c>
      <c r="AO63" s="925" t="s">
        <v>245</v>
      </c>
      <c r="AP63" s="558" t="s">
        <v>252</v>
      </c>
      <c r="AQ63" s="559" t="s">
        <v>245</v>
      </c>
      <c r="AR63" s="560"/>
      <c r="AS63" s="561" t="s">
        <v>253</v>
      </c>
      <c r="AT63" s="561" t="s">
        <v>201</v>
      </c>
    </row>
    <row r="64" spans="1:46" s="527" customFormat="1" ht="232" x14ac:dyDescent="0.35">
      <c r="A64" s="816" t="s">
        <v>100</v>
      </c>
      <c r="B64" s="545" t="s">
        <v>244</v>
      </c>
      <c r="C64" s="546" t="s">
        <v>245</v>
      </c>
      <c r="D64" s="546" t="s">
        <v>254</v>
      </c>
      <c r="E64" s="546" t="s">
        <v>103</v>
      </c>
      <c r="F64" s="546" t="s">
        <v>185</v>
      </c>
      <c r="G64" s="629" t="s">
        <v>127</v>
      </c>
      <c r="H64" s="546" t="s">
        <v>255</v>
      </c>
      <c r="I64" s="935" t="s">
        <v>256</v>
      </c>
      <c r="J64" s="943" t="s">
        <v>257</v>
      </c>
      <c r="K64" s="943" t="s">
        <v>258</v>
      </c>
      <c r="L64" s="807"/>
      <c r="M64" s="650">
        <v>1</v>
      </c>
      <c r="N64" s="546" t="s">
        <v>259</v>
      </c>
      <c r="O64" s="546" t="s">
        <v>245</v>
      </c>
      <c r="P64" s="546" t="s">
        <v>190</v>
      </c>
      <c r="Q64" s="276">
        <f t="shared" si="1"/>
        <v>0</v>
      </c>
      <c r="R64" s="277">
        <f t="shared" si="11"/>
        <v>0</v>
      </c>
      <c r="S64" s="287">
        <f t="shared" si="12"/>
        <v>0</v>
      </c>
      <c r="T64" s="287">
        <f t="shared" si="13"/>
        <v>0</v>
      </c>
      <c r="U64" s="287">
        <f t="shared" si="14"/>
        <v>0</v>
      </c>
      <c r="V64" s="288">
        <f t="shared" si="15"/>
        <v>0</v>
      </c>
      <c r="W64" s="289">
        <f t="shared" si="10"/>
        <v>0</v>
      </c>
      <c r="X64" s="551"/>
      <c r="Y64" s="552"/>
      <c r="Z64" s="553"/>
      <c r="AA64" s="554"/>
      <c r="AB64" s="552"/>
      <c r="AC64" s="552"/>
      <c r="AD64" s="919"/>
      <c r="AE64" s="923"/>
      <c r="AF64" s="921"/>
      <c r="AG64" s="922" t="s">
        <v>245</v>
      </c>
      <c r="AH64" s="923" t="s">
        <v>245</v>
      </c>
      <c r="AI64" s="921" t="s">
        <v>245</v>
      </c>
      <c r="AJ64" s="875">
        <v>0</v>
      </c>
      <c r="AK64" s="923" t="s">
        <v>245</v>
      </c>
      <c r="AL64" s="923" t="s">
        <v>245</v>
      </c>
      <c r="AM64" s="875">
        <v>0</v>
      </c>
      <c r="AN64" s="927" t="s">
        <v>245</v>
      </c>
      <c r="AO64" s="925" t="s">
        <v>245</v>
      </c>
      <c r="AP64" s="558" t="s">
        <v>245</v>
      </c>
      <c r="AQ64" s="559" t="s">
        <v>245</v>
      </c>
      <c r="AR64" s="560"/>
      <c r="AS64" s="561" t="s">
        <v>260</v>
      </c>
      <c r="AT64" s="561" t="s">
        <v>261</v>
      </c>
    </row>
    <row r="65" spans="1:46" s="173" customFormat="1" ht="72.5" x14ac:dyDescent="0.35">
      <c r="A65" s="816" t="s">
        <v>100</v>
      </c>
      <c r="B65" s="545" t="s">
        <v>244</v>
      </c>
      <c r="C65" s="546" t="s">
        <v>245</v>
      </c>
      <c r="D65" s="546" t="s">
        <v>262</v>
      </c>
      <c r="E65" s="546" t="s">
        <v>263</v>
      </c>
      <c r="F65" s="546" t="s">
        <v>185</v>
      </c>
      <c r="G65" s="629" t="s">
        <v>127</v>
      </c>
      <c r="H65" s="546" t="s">
        <v>106</v>
      </c>
      <c r="I65" s="935" t="s">
        <v>264</v>
      </c>
      <c r="J65" s="943" t="s">
        <v>265</v>
      </c>
      <c r="K65" s="943" t="s">
        <v>266</v>
      </c>
      <c r="L65" s="807"/>
      <c r="M65" s="650">
        <v>7</v>
      </c>
      <c r="N65" s="546" t="s">
        <v>267</v>
      </c>
      <c r="O65" s="546" t="s">
        <v>245</v>
      </c>
      <c r="P65" s="546" t="s">
        <v>190</v>
      </c>
      <c r="Q65" s="276">
        <f t="shared" si="1"/>
        <v>0</v>
      </c>
      <c r="R65" s="277">
        <f t="shared" si="11"/>
        <v>0</v>
      </c>
      <c r="S65" s="287">
        <f t="shared" si="12"/>
        <v>0</v>
      </c>
      <c r="T65" s="287">
        <f t="shared" si="13"/>
        <v>0</v>
      </c>
      <c r="U65" s="287">
        <f t="shared" si="14"/>
        <v>0</v>
      </c>
      <c r="V65" s="288">
        <f t="shared" si="15"/>
        <v>0</v>
      </c>
      <c r="W65" s="289">
        <f t="shared" si="10"/>
        <v>0</v>
      </c>
      <c r="X65" s="551"/>
      <c r="Y65" s="552"/>
      <c r="Z65" s="553"/>
      <c r="AA65" s="554"/>
      <c r="AB65" s="552"/>
      <c r="AC65" s="552"/>
      <c r="AD65" s="919"/>
      <c r="AE65" s="962">
        <v>0</v>
      </c>
      <c r="AF65" s="921"/>
      <c r="AG65" s="922" t="s">
        <v>245</v>
      </c>
      <c r="AH65" s="962">
        <v>0</v>
      </c>
      <c r="AI65" s="921" t="s">
        <v>245</v>
      </c>
      <c r="AJ65" s="922" t="s">
        <v>245</v>
      </c>
      <c r="AK65" s="962">
        <v>0</v>
      </c>
      <c r="AL65" s="923" t="s">
        <v>245</v>
      </c>
      <c r="AM65" s="924" t="s">
        <v>245</v>
      </c>
      <c r="AN65" s="962">
        <v>0</v>
      </c>
      <c r="AO65" s="925" t="s">
        <v>245</v>
      </c>
      <c r="AP65" s="558" t="s">
        <v>268</v>
      </c>
      <c r="AQ65" s="559" t="s">
        <v>245</v>
      </c>
      <c r="AR65" s="560"/>
      <c r="AS65" s="561" t="s">
        <v>269</v>
      </c>
      <c r="AT65" s="561" t="s">
        <v>201</v>
      </c>
    </row>
    <row r="66" spans="1:46" s="173" customFormat="1" ht="87" x14ac:dyDescent="0.35">
      <c r="A66" s="816" t="s">
        <v>100</v>
      </c>
      <c r="B66" s="545" t="s">
        <v>244</v>
      </c>
      <c r="C66" s="546" t="s">
        <v>245</v>
      </c>
      <c r="D66" s="546" t="s">
        <v>270</v>
      </c>
      <c r="E66" s="546" t="s">
        <v>263</v>
      </c>
      <c r="F66" s="546" t="s">
        <v>271</v>
      </c>
      <c r="G66" s="630" t="s">
        <v>105</v>
      </c>
      <c r="H66" s="546" t="s">
        <v>272</v>
      </c>
      <c r="I66" s="935" t="s">
        <v>273</v>
      </c>
      <c r="J66" s="943" t="s">
        <v>274</v>
      </c>
      <c r="K66" s="943" t="s">
        <v>275</v>
      </c>
      <c r="L66" s="807"/>
      <c r="M66" s="650">
        <v>9</v>
      </c>
      <c r="N66" s="546" t="s">
        <v>276</v>
      </c>
      <c r="O66" s="546" t="s">
        <v>245</v>
      </c>
      <c r="P66" s="546" t="s">
        <v>190</v>
      </c>
      <c r="Q66" s="276">
        <f t="shared" si="1"/>
        <v>0</v>
      </c>
      <c r="R66" s="277">
        <f t="shared" si="11"/>
        <v>0</v>
      </c>
      <c r="S66" s="287">
        <f t="shared" si="12"/>
        <v>0</v>
      </c>
      <c r="T66" s="287">
        <f t="shared" si="13"/>
        <v>0</v>
      </c>
      <c r="U66" s="287">
        <f t="shared" si="14"/>
        <v>0</v>
      </c>
      <c r="V66" s="288">
        <f t="shared" si="15"/>
        <v>0</v>
      </c>
      <c r="W66" s="289">
        <f t="shared" si="10"/>
        <v>0</v>
      </c>
      <c r="X66" s="551"/>
      <c r="Y66" s="552"/>
      <c r="Z66" s="553"/>
      <c r="AA66" s="554"/>
      <c r="AB66" s="552"/>
      <c r="AC66" s="552"/>
      <c r="AD66" s="875">
        <v>0</v>
      </c>
      <c r="AE66" s="962">
        <v>0</v>
      </c>
      <c r="AF66" s="921"/>
      <c r="AG66" s="875">
        <v>0</v>
      </c>
      <c r="AH66" s="962">
        <v>0</v>
      </c>
      <c r="AI66" s="921" t="s">
        <v>245</v>
      </c>
      <c r="AJ66" s="875">
        <v>0</v>
      </c>
      <c r="AK66" s="962">
        <v>0</v>
      </c>
      <c r="AL66" s="923" t="s">
        <v>245</v>
      </c>
      <c r="AM66" s="875">
        <v>0</v>
      </c>
      <c r="AN66" s="962">
        <v>0</v>
      </c>
      <c r="AO66" s="925" t="s">
        <v>245</v>
      </c>
      <c r="AP66" s="558" t="s">
        <v>277</v>
      </c>
      <c r="AQ66" s="559" t="s">
        <v>245</v>
      </c>
      <c r="AR66" s="560"/>
      <c r="AS66" s="561" t="s">
        <v>269</v>
      </c>
      <c r="AT66" s="561" t="s">
        <v>201</v>
      </c>
    </row>
    <row r="67" spans="1:46" s="173" customFormat="1" ht="406" x14ac:dyDescent="0.35">
      <c r="A67" s="816" t="s">
        <v>100</v>
      </c>
      <c r="B67" s="545" t="s">
        <v>244</v>
      </c>
      <c r="C67" s="546" t="s">
        <v>245</v>
      </c>
      <c r="D67" s="546" t="s">
        <v>278</v>
      </c>
      <c r="E67" s="546" t="s">
        <v>263</v>
      </c>
      <c r="F67" s="546" t="s">
        <v>279</v>
      </c>
      <c r="G67" s="547" t="s">
        <v>280</v>
      </c>
      <c r="H67" s="546" t="s">
        <v>281</v>
      </c>
      <c r="I67" s="546" t="s">
        <v>282</v>
      </c>
      <c r="J67" s="546" t="s">
        <v>283</v>
      </c>
      <c r="K67" s="546" t="s">
        <v>284</v>
      </c>
      <c r="L67" s="807"/>
      <c r="M67" s="546"/>
      <c r="N67" s="546" t="s">
        <v>285</v>
      </c>
      <c r="O67" s="546" t="s">
        <v>245</v>
      </c>
      <c r="P67" s="546" t="s">
        <v>286</v>
      </c>
      <c r="Q67" s="276">
        <f t="shared" si="1"/>
        <v>3029117</v>
      </c>
      <c r="R67" s="277">
        <f t="shared" si="11"/>
        <v>0</v>
      </c>
      <c r="S67" s="287">
        <f t="shared" si="12"/>
        <v>0</v>
      </c>
      <c r="T67" s="287">
        <f t="shared" si="13"/>
        <v>683625</v>
      </c>
      <c r="U67" s="287">
        <f t="shared" si="14"/>
        <v>732325</v>
      </c>
      <c r="V67" s="288">
        <f t="shared" si="15"/>
        <v>783770</v>
      </c>
      <c r="W67" s="289">
        <f t="shared" si="10"/>
        <v>829397</v>
      </c>
      <c r="X67" s="551"/>
      <c r="Y67" s="552"/>
      <c r="Z67" s="553"/>
      <c r="AA67" s="554"/>
      <c r="AB67" s="552"/>
      <c r="AC67" s="552"/>
      <c r="AD67" s="551"/>
      <c r="AE67" s="555">
        <v>171000</v>
      </c>
      <c r="AF67" s="563">
        <v>512625</v>
      </c>
      <c r="AG67" s="554"/>
      <c r="AH67" s="555">
        <v>203500</v>
      </c>
      <c r="AI67" s="563">
        <v>528825</v>
      </c>
      <c r="AJ67" s="554" t="s">
        <v>245</v>
      </c>
      <c r="AK67" s="555">
        <v>232000</v>
      </c>
      <c r="AL67" s="555">
        <v>551770</v>
      </c>
      <c r="AM67" s="556" t="s">
        <v>245</v>
      </c>
      <c r="AN67" s="557">
        <v>255000</v>
      </c>
      <c r="AO67" s="564">
        <v>574397</v>
      </c>
      <c r="AP67" s="558" t="s">
        <v>287</v>
      </c>
      <c r="AQ67" s="559" t="s">
        <v>215</v>
      </c>
      <c r="AR67" s="560" t="s">
        <v>288</v>
      </c>
      <c r="AS67" s="561" t="s">
        <v>269</v>
      </c>
      <c r="AT67" s="565" t="s">
        <v>289</v>
      </c>
    </row>
    <row r="68" spans="1:46" s="173" customFormat="1" ht="261" x14ac:dyDescent="0.35">
      <c r="A68" s="816" t="s">
        <v>100</v>
      </c>
      <c r="B68" s="545" t="s">
        <v>244</v>
      </c>
      <c r="C68" s="546" t="s">
        <v>245</v>
      </c>
      <c r="D68" s="546" t="s">
        <v>290</v>
      </c>
      <c r="E68" s="546" t="s">
        <v>263</v>
      </c>
      <c r="F68" s="546" t="s">
        <v>271</v>
      </c>
      <c r="G68" s="546" t="s">
        <v>105</v>
      </c>
      <c r="H68" s="546" t="s">
        <v>291</v>
      </c>
      <c r="I68" s="934" t="s">
        <v>292</v>
      </c>
      <c r="J68" s="943" t="s">
        <v>293</v>
      </c>
      <c r="K68" s="943" t="s">
        <v>294</v>
      </c>
      <c r="L68" s="807"/>
      <c r="M68" s="650">
        <v>5</v>
      </c>
      <c r="N68" s="546" t="s">
        <v>295</v>
      </c>
      <c r="O68" s="546" t="s">
        <v>245</v>
      </c>
      <c r="P68" s="546" t="s">
        <v>190</v>
      </c>
      <c r="Q68" s="276">
        <f t="shared" si="1"/>
        <v>312500</v>
      </c>
      <c r="R68" s="277">
        <f t="shared" si="11"/>
        <v>0</v>
      </c>
      <c r="S68" s="287">
        <f t="shared" si="12"/>
        <v>0</v>
      </c>
      <c r="T68" s="287">
        <f t="shared" si="13"/>
        <v>0</v>
      </c>
      <c r="U68" s="287">
        <f t="shared" si="14"/>
        <v>62500</v>
      </c>
      <c r="V68" s="288">
        <f t="shared" si="15"/>
        <v>125000</v>
      </c>
      <c r="W68" s="289">
        <f t="shared" si="10"/>
        <v>125000</v>
      </c>
      <c r="X68" s="551"/>
      <c r="Y68" s="552"/>
      <c r="Z68" s="553"/>
      <c r="AA68" s="554"/>
      <c r="AB68" s="552"/>
      <c r="AC68" s="552"/>
      <c r="AD68" s="919"/>
      <c r="AE68" s="923"/>
      <c r="AF68" s="921"/>
      <c r="AG68" s="922"/>
      <c r="AH68" s="947">
        <v>0</v>
      </c>
      <c r="AI68" s="945">
        <f>SUM(125000/2)</f>
        <v>62500</v>
      </c>
      <c r="AJ68" s="922"/>
      <c r="AK68" s="947">
        <v>0</v>
      </c>
      <c r="AL68" s="932">
        <f>SUM(250000/2)</f>
        <v>125000</v>
      </c>
      <c r="AM68" s="928"/>
      <c r="AN68" s="948">
        <v>0</v>
      </c>
      <c r="AO68" s="946">
        <f>SUM(250000/2)</f>
        <v>125000</v>
      </c>
      <c r="AP68" s="558" t="s">
        <v>296</v>
      </c>
      <c r="AQ68" s="559" t="s">
        <v>245</v>
      </c>
      <c r="AR68" s="560"/>
      <c r="AS68" s="560" t="s">
        <v>269</v>
      </c>
      <c r="AT68" s="568" t="s">
        <v>201</v>
      </c>
    </row>
    <row r="69" spans="1:46" s="173" customFormat="1" ht="217.5" x14ac:dyDescent="0.35">
      <c r="A69" s="816" t="s">
        <v>100</v>
      </c>
      <c r="B69" s="545" t="s">
        <v>244</v>
      </c>
      <c r="C69" s="546" t="s">
        <v>245</v>
      </c>
      <c r="D69" s="546" t="s">
        <v>297</v>
      </c>
      <c r="E69" s="629" t="s">
        <v>103</v>
      </c>
      <c r="F69" s="629" t="s">
        <v>119</v>
      </c>
      <c r="G69" s="630" t="s">
        <v>105</v>
      </c>
      <c r="H69" s="546" t="s">
        <v>106</v>
      </c>
      <c r="I69" s="935" t="s">
        <v>298</v>
      </c>
      <c r="J69" s="943" t="s">
        <v>299</v>
      </c>
      <c r="K69" s="943" t="s">
        <v>300</v>
      </c>
      <c r="L69" s="807"/>
      <c r="M69" s="650">
        <v>8</v>
      </c>
      <c r="N69" s="546" t="s">
        <v>301</v>
      </c>
      <c r="O69" s="546" t="s">
        <v>245</v>
      </c>
      <c r="P69" s="546" t="s">
        <v>190</v>
      </c>
      <c r="Q69" s="276">
        <f t="shared" si="1"/>
        <v>0</v>
      </c>
      <c r="R69" s="277">
        <f t="shared" si="11"/>
        <v>0</v>
      </c>
      <c r="S69" s="287">
        <f t="shared" si="12"/>
        <v>0</v>
      </c>
      <c r="T69" s="287">
        <f t="shared" si="13"/>
        <v>0</v>
      </c>
      <c r="U69" s="287">
        <f t="shared" si="14"/>
        <v>0</v>
      </c>
      <c r="V69" s="288">
        <f t="shared" si="15"/>
        <v>0</v>
      </c>
      <c r="W69" s="289">
        <f t="shared" si="10"/>
        <v>0</v>
      </c>
      <c r="X69" s="551"/>
      <c r="Y69" s="552"/>
      <c r="Z69" s="553"/>
      <c r="AA69" s="554"/>
      <c r="AB69" s="552"/>
      <c r="AC69" s="552"/>
      <c r="AD69" s="919"/>
      <c r="AE69" s="962">
        <v>0</v>
      </c>
      <c r="AF69" s="921"/>
      <c r="AG69" s="922" t="s">
        <v>245</v>
      </c>
      <c r="AH69" s="962">
        <v>0</v>
      </c>
      <c r="AI69" s="921" t="s">
        <v>245</v>
      </c>
      <c r="AJ69" s="922" t="s">
        <v>245</v>
      </c>
      <c r="AK69" s="962">
        <v>0</v>
      </c>
      <c r="AL69" s="923" t="s">
        <v>245</v>
      </c>
      <c r="AM69" s="928" t="s">
        <v>245</v>
      </c>
      <c r="AN69" s="962">
        <v>0</v>
      </c>
      <c r="AO69" s="930" t="s">
        <v>245</v>
      </c>
      <c r="AP69" s="558" t="s">
        <v>302</v>
      </c>
      <c r="AQ69" s="559" t="s">
        <v>245</v>
      </c>
      <c r="AR69" s="560"/>
      <c r="AS69" s="649" t="s">
        <v>260</v>
      </c>
      <c r="AT69" s="568" t="s">
        <v>201</v>
      </c>
    </row>
    <row r="70" spans="1:46" s="221" customFormat="1" ht="101.5" x14ac:dyDescent="0.35">
      <c r="A70" s="816" t="s">
        <v>100</v>
      </c>
      <c r="B70" s="545" t="s">
        <v>244</v>
      </c>
      <c r="C70" s="546" t="s">
        <v>245</v>
      </c>
      <c r="D70" s="546" t="s">
        <v>303</v>
      </c>
      <c r="E70" s="633" t="s">
        <v>263</v>
      </c>
      <c r="F70" s="631" t="s">
        <v>271</v>
      </c>
      <c r="G70" s="632" t="s">
        <v>280</v>
      </c>
      <c r="H70" s="546" t="s">
        <v>106</v>
      </c>
      <c r="I70" s="934" t="s">
        <v>304</v>
      </c>
      <c r="J70" s="943" t="s">
        <v>305</v>
      </c>
      <c r="K70" s="943" t="s">
        <v>306</v>
      </c>
      <c r="L70" s="807"/>
      <c r="M70" s="650">
        <v>6</v>
      </c>
      <c r="N70" s="546" t="s">
        <v>307</v>
      </c>
      <c r="O70" s="546" t="s">
        <v>245</v>
      </c>
      <c r="P70" s="546" t="s">
        <v>190</v>
      </c>
      <c r="Q70" s="276">
        <f t="shared" si="1"/>
        <v>1019355</v>
      </c>
      <c r="R70" s="277">
        <f t="shared" si="11"/>
        <v>0</v>
      </c>
      <c r="S70" s="287">
        <f t="shared" si="12"/>
        <v>0</v>
      </c>
      <c r="T70" s="287">
        <f t="shared" si="13"/>
        <v>222750</v>
      </c>
      <c r="U70" s="287">
        <f t="shared" si="14"/>
        <v>242775</v>
      </c>
      <c r="V70" s="288">
        <f t="shared" si="15"/>
        <v>264800</v>
      </c>
      <c r="W70" s="289">
        <f t="shared" si="10"/>
        <v>289030</v>
      </c>
      <c r="X70" s="551"/>
      <c r="Y70" s="552"/>
      <c r="Z70" s="553"/>
      <c r="AA70" s="554"/>
      <c r="AB70" s="552"/>
      <c r="AC70" s="552"/>
      <c r="AD70" s="919"/>
      <c r="AE70" s="920">
        <v>222750</v>
      </c>
      <c r="AF70" s="921"/>
      <c r="AG70" s="922" t="s">
        <v>245</v>
      </c>
      <c r="AH70" s="920">
        <v>242775</v>
      </c>
      <c r="AI70" s="921" t="s">
        <v>245</v>
      </c>
      <c r="AJ70" s="922" t="s">
        <v>245</v>
      </c>
      <c r="AK70" s="920">
        <v>264800</v>
      </c>
      <c r="AL70" s="923" t="s">
        <v>245</v>
      </c>
      <c r="AM70" s="928" t="s">
        <v>245</v>
      </c>
      <c r="AN70" s="929">
        <v>289030</v>
      </c>
      <c r="AO70" s="930" t="s">
        <v>245</v>
      </c>
      <c r="AP70" s="558" t="s">
        <v>308</v>
      </c>
      <c r="AQ70" s="559" t="s">
        <v>245</v>
      </c>
      <c r="AR70" s="560"/>
      <c r="AS70" s="560" t="s">
        <v>269</v>
      </c>
      <c r="AT70" s="568" t="s">
        <v>201</v>
      </c>
    </row>
    <row r="71" spans="1:46" s="221" customFormat="1" ht="15.5" x14ac:dyDescent="0.35">
      <c r="A71" s="816" t="s">
        <v>100</v>
      </c>
      <c r="B71" s="545"/>
      <c r="C71" s="546"/>
      <c r="D71" s="546"/>
      <c r="E71" s="546"/>
      <c r="F71" s="546"/>
      <c r="G71" s="629"/>
      <c r="H71" s="546"/>
      <c r="I71" s="546"/>
      <c r="J71" s="546"/>
      <c r="K71" s="546"/>
      <c r="L71" s="807"/>
      <c r="M71" s="546"/>
      <c r="N71" s="546"/>
      <c r="O71" s="546"/>
      <c r="P71" s="546"/>
      <c r="Q71" s="276"/>
      <c r="R71" s="277"/>
      <c r="S71" s="287"/>
      <c r="T71" s="287"/>
      <c r="U71" s="287"/>
      <c r="V71" s="288"/>
      <c r="W71" s="289"/>
      <c r="X71" s="551"/>
      <c r="Y71" s="552"/>
      <c r="Z71" s="553"/>
      <c r="AA71" s="554"/>
      <c r="AB71" s="552"/>
      <c r="AC71" s="552"/>
      <c r="AD71" s="551"/>
      <c r="AE71" s="552"/>
      <c r="AF71" s="553"/>
      <c r="AG71" s="562"/>
      <c r="AH71" s="555"/>
      <c r="AI71" s="563"/>
      <c r="AJ71" s="562"/>
      <c r="AK71" s="555"/>
      <c r="AL71" s="555"/>
      <c r="AM71" s="569"/>
      <c r="AN71" s="566"/>
      <c r="AO71" s="567"/>
      <c r="AP71" s="558"/>
      <c r="AQ71" s="559"/>
      <c r="AR71" s="560"/>
      <c r="AS71" s="560"/>
      <c r="AT71" s="568"/>
    </row>
    <row r="72" spans="1:46" s="173" customFormat="1" ht="87" x14ac:dyDescent="0.35">
      <c r="A72" s="816" t="s">
        <v>100</v>
      </c>
      <c r="B72" s="545" t="s">
        <v>244</v>
      </c>
      <c r="C72" s="546" t="s">
        <v>245</v>
      </c>
      <c r="D72" s="546" t="s">
        <v>309</v>
      </c>
      <c r="E72" s="546" t="s">
        <v>103</v>
      </c>
      <c r="F72" s="546" t="s">
        <v>310</v>
      </c>
      <c r="G72" s="629" t="s">
        <v>127</v>
      </c>
      <c r="H72" s="546" t="s">
        <v>311</v>
      </c>
      <c r="I72" s="934" t="s">
        <v>312</v>
      </c>
      <c r="J72" s="944" t="s">
        <v>313</v>
      </c>
      <c r="K72" s="943" t="s">
        <v>314</v>
      </c>
      <c r="L72" s="807"/>
      <c r="M72" s="650">
        <v>3</v>
      </c>
      <c r="N72" s="546" t="s">
        <v>315</v>
      </c>
      <c r="O72" s="546" t="s">
        <v>245</v>
      </c>
      <c r="P72" s="546" t="s">
        <v>190</v>
      </c>
      <c r="Q72" s="276">
        <f t="shared" si="1"/>
        <v>1250235.5</v>
      </c>
      <c r="R72" s="277">
        <f t="shared" si="11"/>
        <v>0</v>
      </c>
      <c r="S72" s="287">
        <f t="shared" si="12"/>
        <v>0</v>
      </c>
      <c r="T72" s="287">
        <f t="shared" si="13"/>
        <v>0</v>
      </c>
      <c r="U72" s="287">
        <f t="shared" si="14"/>
        <v>408625.5</v>
      </c>
      <c r="V72" s="288">
        <f t="shared" si="15"/>
        <v>416838</v>
      </c>
      <c r="W72" s="289">
        <f t="shared" si="10"/>
        <v>424772</v>
      </c>
      <c r="X72" s="551"/>
      <c r="Y72" s="552"/>
      <c r="Z72" s="553"/>
      <c r="AA72" s="554"/>
      <c r="AB72" s="552"/>
      <c r="AC72" s="552"/>
      <c r="AD72" s="919"/>
      <c r="AE72" s="923"/>
      <c r="AF72" s="921"/>
      <c r="AG72" s="926">
        <v>320000</v>
      </c>
      <c r="AH72" s="932">
        <f>SUM(159251/2)</f>
        <v>79625.5</v>
      </c>
      <c r="AI72" s="945">
        <f>SUM(18000/2)</f>
        <v>9000</v>
      </c>
      <c r="AJ72" s="926">
        <v>320000</v>
      </c>
      <c r="AK72" s="932">
        <f>SUM(173676/2)</f>
        <v>86838</v>
      </c>
      <c r="AL72" s="932">
        <f>SUM(20000/2)</f>
        <v>10000</v>
      </c>
      <c r="AM72" s="931">
        <v>320000</v>
      </c>
      <c r="AN72" s="949">
        <f>SUM(189544/2)</f>
        <v>94772</v>
      </c>
      <c r="AO72" s="946">
        <f>SUM(20000/2)</f>
        <v>10000</v>
      </c>
      <c r="AP72" s="558" t="s">
        <v>316</v>
      </c>
      <c r="AQ72" s="559" t="s">
        <v>114</v>
      </c>
      <c r="AR72" s="560" t="s">
        <v>317</v>
      </c>
      <c r="AS72" s="649" t="s">
        <v>318</v>
      </c>
      <c r="AT72" s="568" t="s">
        <v>201</v>
      </c>
    </row>
    <row r="73" spans="1:46" s="173" customFormat="1" ht="87" x14ac:dyDescent="0.35">
      <c r="A73" s="816" t="s">
        <v>100</v>
      </c>
      <c r="B73" s="545" t="s">
        <v>244</v>
      </c>
      <c r="C73" s="546" t="s">
        <v>245</v>
      </c>
      <c r="D73" s="546" t="s">
        <v>309</v>
      </c>
      <c r="E73" s="546" t="s">
        <v>103</v>
      </c>
      <c r="F73" s="546" t="s">
        <v>310</v>
      </c>
      <c r="G73" s="629" t="s">
        <v>127</v>
      </c>
      <c r="H73" s="546" t="s">
        <v>311</v>
      </c>
      <c r="I73" s="935" t="s">
        <v>319</v>
      </c>
      <c r="J73" s="944" t="s">
        <v>320</v>
      </c>
      <c r="K73" s="943" t="s">
        <v>321</v>
      </c>
      <c r="L73" s="807"/>
      <c r="M73" s="650">
        <v>4</v>
      </c>
      <c r="N73" s="546" t="s">
        <v>322</v>
      </c>
      <c r="O73" s="546" t="s">
        <v>245</v>
      </c>
      <c r="P73" s="546" t="s">
        <v>190</v>
      </c>
      <c r="Q73" s="276">
        <f t="shared" si="1"/>
        <v>0</v>
      </c>
      <c r="R73" s="277">
        <f t="shared" si="11"/>
        <v>0</v>
      </c>
      <c r="S73" s="287">
        <f t="shared" si="12"/>
        <v>0</v>
      </c>
      <c r="T73" s="287">
        <f t="shared" si="13"/>
        <v>0</v>
      </c>
      <c r="U73" s="287">
        <f t="shared" si="14"/>
        <v>0</v>
      </c>
      <c r="V73" s="288">
        <f t="shared" si="15"/>
        <v>0</v>
      </c>
      <c r="W73" s="289">
        <f t="shared" si="10"/>
        <v>0</v>
      </c>
      <c r="X73" s="551"/>
      <c r="Y73" s="552"/>
      <c r="Z73" s="553"/>
      <c r="AA73" s="554"/>
      <c r="AB73" s="552"/>
      <c r="AC73" s="552"/>
      <c r="AD73" s="919"/>
      <c r="AE73" s="923"/>
      <c r="AF73" s="921"/>
      <c r="AG73" s="875">
        <v>0</v>
      </c>
      <c r="AH73" s="923" t="s">
        <v>245</v>
      </c>
      <c r="AI73" s="921" t="s">
        <v>245</v>
      </c>
      <c r="AJ73" s="875">
        <v>0</v>
      </c>
      <c r="AK73" s="923" t="s">
        <v>245</v>
      </c>
      <c r="AL73" s="921" t="s">
        <v>245</v>
      </c>
      <c r="AM73" s="875">
        <v>0</v>
      </c>
      <c r="AN73" s="923" t="s">
        <v>245</v>
      </c>
      <c r="AO73" s="921" t="s">
        <v>245</v>
      </c>
      <c r="AP73" s="570" t="s">
        <v>323</v>
      </c>
      <c r="AQ73" s="559" t="s">
        <v>114</v>
      </c>
      <c r="AR73" s="560" t="s">
        <v>317</v>
      </c>
      <c r="AS73" s="649" t="s">
        <v>318</v>
      </c>
      <c r="AT73" s="568" t="s">
        <v>201</v>
      </c>
    </row>
    <row r="74" spans="1:46" s="173" customFormat="1" ht="15.5" x14ac:dyDescent="0.35">
      <c r="A74" s="816" t="s">
        <v>100</v>
      </c>
      <c r="B74" s="548"/>
      <c r="C74" s="549"/>
      <c r="D74" s="549"/>
      <c r="E74" s="549"/>
      <c r="F74" s="549"/>
      <c r="G74" s="550"/>
      <c r="H74" s="549"/>
      <c r="I74" s="549"/>
      <c r="J74" s="549"/>
      <c r="K74" s="549"/>
      <c r="L74" s="808"/>
      <c r="M74" s="549"/>
      <c r="N74" s="549"/>
      <c r="O74" s="549"/>
      <c r="P74" s="549"/>
      <c r="Q74" s="276">
        <f t="shared" si="1"/>
        <v>0</v>
      </c>
      <c r="R74" s="277">
        <f t="shared" si="11"/>
        <v>0</v>
      </c>
      <c r="S74" s="287">
        <f t="shared" si="12"/>
        <v>0</v>
      </c>
      <c r="T74" s="287">
        <f t="shared" si="13"/>
        <v>0</v>
      </c>
      <c r="U74" s="287">
        <f t="shared" si="14"/>
        <v>0</v>
      </c>
      <c r="V74" s="288">
        <f t="shared" si="15"/>
        <v>0</v>
      </c>
      <c r="W74" s="289">
        <f t="shared" si="10"/>
        <v>0</v>
      </c>
      <c r="X74" s="571" t="s">
        <v>245</v>
      </c>
      <c r="Y74" s="572" t="s">
        <v>245</v>
      </c>
      <c r="Z74" s="573" t="s">
        <v>245</v>
      </c>
      <c r="AA74" s="574" t="s">
        <v>245</v>
      </c>
      <c r="AB74" s="572" t="s">
        <v>245</v>
      </c>
      <c r="AC74" s="572" t="s">
        <v>245</v>
      </c>
      <c r="AD74" s="571" t="s">
        <v>245</v>
      </c>
      <c r="AE74" s="572" t="s">
        <v>245</v>
      </c>
      <c r="AF74" s="573" t="s">
        <v>245</v>
      </c>
      <c r="AG74" s="574"/>
      <c r="AH74" s="572"/>
      <c r="AI74" s="573"/>
      <c r="AJ74" s="574"/>
      <c r="AK74" s="572"/>
      <c r="AL74" s="572"/>
      <c r="AM74" s="575"/>
      <c r="AN74" s="576"/>
      <c r="AO74" s="577"/>
      <c r="AP74" s="578"/>
      <c r="AQ74" s="579"/>
      <c r="AR74" s="580"/>
      <c r="AS74" s="580"/>
      <c r="AT74" s="580"/>
    </row>
    <row r="75" spans="1:46" s="173" customFormat="1" ht="362.5" x14ac:dyDescent="0.35">
      <c r="A75" s="816" t="s">
        <v>100</v>
      </c>
      <c r="B75" s="661" t="s">
        <v>244</v>
      </c>
      <c r="C75" s="662"/>
      <c r="D75" s="662" t="s">
        <v>246</v>
      </c>
      <c r="E75" s="662" t="s">
        <v>103</v>
      </c>
      <c r="F75" s="663" t="s">
        <v>324</v>
      </c>
      <c r="G75" s="884" t="s">
        <v>127</v>
      </c>
      <c r="H75" s="662" t="s">
        <v>325</v>
      </c>
      <c r="I75" s="950" t="s">
        <v>326</v>
      </c>
      <c r="J75" s="938" t="s">
        <v>327</v>
      </c>
      <c r="K75" s="938" t="s">
        <v>328</v>
      </c>
      <c r="L75" s="809"/>
      <c r="M75" s="662">
        <v>1</v>
      </c>
      <c r="N75" s="662" t="s">
        <v>329</v>
      </c>
      <c r="O75" s="676" t="s">
        <v>330</v>
      </c>
      <c r="P75" s="662" t="s">
        <v>190</v>
      </c>
      <c r="Q75" s="664">
        <v>15527440</v>
      </c>
      <c r="R75" s="665">
        <v>0</v>
      </c>
      <c r="S75" s="666">
        <v>0</v>
      </c>
      <c r="T75" s="666">
        <v>0</v>
      </c>
      <c r="U75" s="666">
        <v>5045750</v>
      </c>
      <c r="V75" s="667">
        <v>5167575</v>
      </c>
      <c r="W75" s="668">
        <v>5314115</v>
      </c>
      <c r="X75" s="669"/>
      <c r="Y75" s="670"/>
      <c r="Z75" s="671"/>
      <c r="AA75" s="672"/>
      <c r="AB75" s="670"/>
      <c r="AC75" s="670"/>
      <c r="AD75" s="919"/>
      <c r="AE75" s="923"/>
      <c r="AF75" s="921"/>
      <c r="AG75" s="926">
        <v>3520000</v>
      </c>
      <c r="AH75" s="923">
        <v>1405750</v>
      </c>
      <c r="AI75" s="921">
        <v>120000</v>
      </c>
      <c r="AJ75" s="926">
        <v>3480000</v>
      </c>
      <c r="AK75" s="923">
        <v>1567575</v>
      </c>
      <c r="AL75" s="921">
        <v>120000</v>
      </c>
      <c r="AM75" s="926">
        <v>3480000</v>
      </c>
      <c r="AN75" s="923">
        <v>1714115</v>
      </c>
      <c r="AO75" s="921">
        <v>120000</v>
      </c>
      <c r="AP75" s="673" t="s">
        <v>331</v>
      </c>
      <c r="AQ75" s="674" t="s">
        <v>114</v>
      </c>
      <c r="AR75" s="675" t="s">
        <v>317</v>
      </c>
      <c r="AS75" s="675" t="s">
        <v>253</v>
      </c>
      <c r="AT75" s="675" t="s">
        <v>201</v>
      </c>
    </row>
    <row r="76" spans="1:46" s="173" customFormat="1" ht="87" x14ac:dyDescent="0.35">
      <c r="A76" s="816" t="s">
        <v>100</v>
      </c>
      <c r="B76" s="545" t="s">
        <v>244</v>
      </c>
      <c r="C76" s="546" t="s">
        <v>245</v>
      </c>
      <c r="D76" s="546" t="s">
        <v>246</v>
      </c>
      <c r="E76" s="546" t="s">
        <v>103</v>
      </c>
      <c r="F76" s="546" t="s">
        <v>332</v>
      </c>
      <c r="G76" s="629" t="s">
        <v>127</v>
      </c>
      <c r="H76" s="546" t="s">
        <v>333</v>
      </c>
      <c r="I76" s="934" t="s">
        <v>334</v>
      </c>
      <c r="J76" s="944" t="s">
        <v>335</v>
      </c>
      <c r="K76" s="939" t="s">
        <v>336</v>
      </c>
      <c r="L76" s="810"/>
      <c r="M76" s="785" t="s">
        <v>245</v>
      </c>
      <c r="N76" s="785" t="s">
        <v>337</v>
      </c>
      <c r="O76" s="785" t="s">
        <v>245</v>
      </c>
      <c r="P76" s="786" t="s">
        <v>190</v>
      </c>
      <c r="Q76" s="276">
        <f t="shared" ref="Q76" si="23">SUM(R76:W76)</f>
        <v>1729904</v>
      </c>
      <c r="R76" s="277">
        <f t="shared" ref="R76" si="24">SUM(X76:Z76)</f>
        <v>0</v>
      </c>
      <c r="S76" s="287">
        <f t="shared" ref="S76" si="25">SUM(AA76:AC76)</f>
        <v>0</v>
      </c>
      <c r="T76" s="287">
        <f t="shared" ref="T76" si="26">SUM(AD76:AF76)</f>
        <v>0</v>
      </c>
      <c r="U76" s="287">
        <f t="shared" ref="U76" si="27">SUM(AG76:AI76)</f>
        <v>542201.5</v>
      </c>
      <c r="V76" s="288">
        <f t="shared" ref="V76" si="28">SUM(AJ76:AL76)</f>
        <v>575596.5</v>
      </c>
      <c r="W76" s="289">
        <f t="shared" ref="W76" si="29">SUM(AM76:AO76)</f>
        <v>612106</v>
      </c>
      <c r="X76" s="551"/>
      <c r="Y76" s="552"/>
      <c r="Z76" s="553"/>
      <c r="AA76" s="554"/>
      <c r="AB76" s="552"/>
      <c r="AC76" s="552"/>
      <c r="AD76" s="551"/>
      <c r="AE76" s="552"/>
      <c r="AF76" s="553"/>
      <c r="AG76" s="951">
        <v>0</v>
      </c>
      <c r="AH76" s="952">
        <f>SUM(622903/2)</f>
        <v>311451.5</v>
      </c>
      <c r="AI76" s="953">
        <f>SUM(461500/2)</f>
        <v>230750</v>
      </c>
      <c r="AJ76" s="951">
        <v>0</v>
      </c>
      <c r="AK76" s="952">
        <f>SUM(685193/2)</f>
        <v>342596.5</v>
      </c>
      <c r="AL76" s="954">
        <f>SUM(466000/2)</f>
        <v>233000</v>
      </c>
      <c r="AM76" s="951">
        <v>0</v>
      </c>
      <c r="AN76" s="952">
        <f>SUM(753712/2)</f>
        <v>376856</v>
      </c>
      <c r="AO76" s="953">
        <f>SUM(470500/2)</f>
        <v>235250</v>
      </c>
      <c r="AP76" s="787" t="s">
        <v>338</v>
      </c>
      <c r="AQ76" s="788" t="s">
        <v>114</v>
      </c>
      <c r="AR76" s="789" t="s">
        <v>317</v>
      </c>
      <c r="AS76" s="789" t="s">
        <v>237</v>
      </c>
      <c r="AT76" s="789" t="s">
        <v>201</v>
      </c>
    </row>
    <row r="77" spans="1:46" s="173" customFormat="1" ht="409.5" x14ac:dyDescent="0.35">
      <c r="A77" s="323" t="s">
        <v>100</v>
      </c>
      <c r="B77" s="242" t="s">
        <v>339</v>
      </c>
      <c r="C77" s="242"/>
      <c r="D77" s="243" t="s">
        <v>340</v>
      </c>
      <c r="E77" s="243" t="s">
        <v>103</v>
      </c>
      <c r="F77" s="244" t="s">
        <v>119</v>
      </c>
      <c r="G77" s="255" t="s">
        <v>105</v>
      </c>
      <c r="H77" s="244" t="s">
        <v>341</v>
      </c>
      <c r="I77" s="908" t="s">
        <v>342</v>
      </c>
      <c r="J77" s="912" t="s">
        <v>343</v>
      </c>
      <c r="K77" s="939" t="s">
        <v>344</v>
      </c>
      <c r="L77" s="810"/>
      <c r="M77" s="775">
        <v>1</v>
      </c>
      <c r="N77" s="775"/>
      <c r="O77" s="775" t="s">
        <v>111</v>
      </c>
      <c r="P77" s="776" t="s">
        <v>190</v>
      </c>
      <c r="Q77" s="276">
        <f t="shared" ref="Q77" si="30">SUM(R77:W77)</f>
        <v>679780.5</v>
      </c>
      <c r="R77" s="277">
        <f t="shared" ref="R77" si="31">SUM(X77:Z77)</f>
        <v>0</v>
      </c>
      <c r="S77" s="287">
        <f t="shared" ref="S77" si="32">SUM(AA77:AC77)</f>
        <v>0</v>
      </c>
      <c r="T77" s="287">
        <f t="shared" ref="T77" si="33">SUM(AD77:AF77)</f>
        <v>150944</v>
      </c>
      <c r="U77" s="287">
        <f t="shared" ref="U77" si="34">SUM(AG77:AI77)</f>
        <v>162891</v>
      </c>
      <c r="V77" s="288">
        <f t="shared" ref="V77" si="35">SUM(AJ77:AL77)</f>
        <v>175894</v>
      </c>
      <c r="W77" s="289">
        <f t="shared" ref="W77" si="36">SUM(AM77:AO77)</f>
        <v>190051.5</v>
      </c>
      <c r="X77" s="777"/>
      <c r="Y77" s="778"/>
      <c r="Z77" s="779"/>
      <c r="AA77" s="777"/>
      <c r="AB77" s="778"/>
      <c r="AC77" s="779"/>
      <c r="AD77" s="955">
        <v>0</v>
      </c>
      <c r="AE77" s="952">
        <f>44154+(61500*0)+(61500/2)</f>
        <v>74904</v>
      </c>
      <c r="AF77" s="953">
        <f>(52080+100000)/2</f>
        <v>76040</v>
      </c>
      <c r="AG77" s="780"/>
      <c r="AH77" s="952">
        <f>48569+(63960*0)+(63960/2)</f>
        <v>80549</v>
      </c>
      <c r="AI77" s="953">
        <f>(54684+110000)/2</f>
        <v>82342</v>
      </c>
      <c r="AJ77" s="780"/>
      <c r="AK77" s="952">
        <f>53426+(66518*0)+(66518/2)</f>
        <v>86685</v>
      </c>
      <c r="AL77" s="954">
        <f>(57418+121000)/2</f>
        <v>89209</v>
      </c>
      <c r="AM77" s="777"/>
      <c r="AN77" s="952">
        <f>58769+(69176*0)+(69176/2)</f>
        <v>93357</v>
      </c>
      <c r="AO77" s="953">
        <f>(60289+133100)/2</f>
        <v>96694.5</v>
      </c>
      <c r="AP77" s="781" t="s">
        <v>345</v>
      </c>
      <c r="AQ77" s="782"/>
      <c r="AR77" s="783" t="s">
        <v>346</v>
      </c>
      <c r="AS77" s="784" t="s">
        <v>237</v>
      </c>
      <c r="AT77" s="783" t="s">
        <v>347</v>
      </c>
    </row>
    <row r="78" spans="1:46" s="173" customFormat="1" ht="16" x14ac:dyDescent="0.35">
      <c r="A78" s="323" t="s">
        <v>100</v>
      </c>
      <c r="B78" s="242"/>
      <c r="C78" s="242"/>
      <c r="D78" s="243"/>
      <c r="E78" s="243"/>
      <c r="F78" s="244"/>
      <c r="G78" s="255"/>
      <c r="H78" s="244"/>
      <c r="I78" s="245"/>
      <c r="J78" s="245"/>
      <c r="K78" s="245"/>
      <c r="L78" s="811"/>
      <c r="M78" s="244"/>
      <c r="N78" s="244"/>
      <c r="O78" s="244"/>
      <c r="P78" s="243"/>
      <c r="Q78" s="276"/>
      <c r="R78" s="277"/>
      <c r="S78" s="287"/>
      <c r="T78" s="287"/>
      <c r="U78" s="287"/>
      <c r="V78" s="288"/>
      <c r="W78" s="289"/>
      <c r="X78" s="257"/>
      <c r="Y78" s="258"/>
      <c r="Z78" s="254"/>
      <c r="AA78" s="259"/>
      <c r="AB78" s="258"/>
      <c r="AC78" s="258"/>
      <c r="AD78" s="260"/>
      <c r="AE78" s="261"/>
      <c r="AF78" s="262"/>
      <c r="AG78" s="260"/>
      <c r="AH78" s="261"/>
      <c r="AI78" s="262"/>
      <c r="AJ78" s="260"/>
      <c r="AK78" s="261"/>
      <c r="AL78" s="263"/>
      <c r="AM78" s="260"/>
      <c r="AN78" s="261"/>
      <c r="AO78" s="262"/>
      <c r="AP78" s="385"/>
      <c r="AQ78" s="250"/>
      <c r="AR78" s="387"/>
      <c r="AS78" s="387"/>
      <c r="AT78" s="387"/>
    </row>
    <row r="79" spans="1:46" s="173" customFormat="1" ht="145" x14ac:dyDescent="0.35">
      <c r="A79" s="323" t="s">
        <v>100</v>
      </c>
      <c r="B79" s="242" t="s">
        <v>348</v>
      </c>
      <c r="C79" s="242"/>
      <c r="D79" s="243" t="s">
        <v>349</v>
      </c>
      <c r="E79" s="243" t="s">
        <v>263</v>
      </c>
      <c r="F79" s="244" t="s">
        <v>271</v>
      </c>
      <c r="G79" s="255" t="s">
        <v>280</v>
      </c>
      <c r="H79" s="244" t="s">
        <v>350</v>
      </c>
      <c r="I79" s="908" t="s">
        <v>351</v>
      </c>
      <c r="J79" s="912" t="s">
        <v>352</v>
      </c>
      <c r="K79" s="912" t="s">
        <v>353</v>
      </c>
      <c r="L79" s="811"/>
      <c r="M79" s="244">
        <v>1</v>
      </c>
      <c r="N79" s="244"/>
      <c r="O79" s="244" t="s">
        <v>111</v>
      </c>
      <c r="P79" s="243" t="s">
        <v>190</v>
      </c>
      <c r="Q79" s="276">
        <f t="shared" si="1"/>
        <v>400000</v>
      </c>
      <c r="R79" s="277">
        <f t="shared" si="11"/>
        <v>0</v>
      </c>
      <c r="S79" s="287">
        <f t="shared" si="12"/>
        <v>0</v>
      </c>
      <c r="T79" s="287">
        <f t="shared" si="13"/>
        <v>100000</v>
      </c>
      <c r="U79" s="287">
        <f t="shared" si="14"/>
        <v>100000</v>
      </c>
      <c r="V79" s="288">
        <f t="shared" si="15"/>
        <v>100000</v>
      </c>
      <c r="W79" s="289">
        <f t="shared" si="10"/>
        <v>100000</v>
      </c>
      <c r="X79" s="257"/>
      <c r="Y79" s="258"/>
      <c r="Z79" s="254"/>
      <c r="AA79" s="259"/>
      <c r="AB79" s="258"/>
      <c r="AC79" s="258"/>
      <c r="AD79" s="260"/>
      <c r="AE79" s="261"/>
      <c r="AF79" s="956">
        <f>SUM(200000/2)</f>
        <v>100000</v>
      </c>
      <c r="AG79" s="260"/>
      <c r="AH79" s="261"/>
      <c r="AI79" s="956">
        <f>SUM(200000/2)</f>
        <v>100000</v>
      </c>
      <c r="AJ79" s="260"/>
      <c r="AK79" s="261"/>
      <c r="AL79" s="956">
        <f>SUM(200000/2)</f>
        <v>100000</v>
      </c>
      <c r="AM79" s="260"/>
      <c r="AN79" s="261"/>
      <c r="AO79" s="956">
        <f>SUM(200000/2)</f>
        <v>100000</v>
      </c>
      <c r="AP79" s="385" t="s">
        <v>354</v>
      </c>
      <c r="AQ79" s="250"/>
      <c r="AR79" s="387" t="s">
        <v>346</v>
      </c>
      <c r="AS79" s="387" t="s">
        <v>355</v>
      </c>
      <c r="AT79" s="387" t="s">
        <v>347</v>
      </c>
    </row>
    <row r="80" spans="1:46" s="173" customFormat="1" ht="101.5" x14ac:dyDescent="0.35">
      <c r="A80" s="323" t="s">
        <v>100</v>
      </c>
      <c r="B80" s="242" t="s">
        <v>348</v>
      </c>
      <c r="C80" s="242"/>
      <c r="D80" s="243" t="s">
        <v>349</v>
      </c>
      <c r="E80" s="243" t="s">
        <v>263</v>
      </c>
      <c r="F80" s="244" t="s">
        <v>271</v>
      </c>
      <c r="G80" s="255" t="s">
        <v>280</v>
      </c>
      <c r="H80" s="244" t="s">
        <v>350</v>
      </c>
      <c r="I80" s="908" t="s">
        <v>356</v>
      </c>
      <c r="J80" s="912" t="s">
        <v>357</v>
      </c>
      <c r="K80" s="912" t="s">
        <v>358</v>
      </c>
      <c r="L80" s="811"/>
      <c r="M80" s="244">
        <v>1</v>
      </c>
      <c r="N80" s="244"/>
      <c r="O80" s="244" t="s">
        <v>111</v>
      </c>
      <c r="P80" s="243" t="s">
        <v>190</v>
      </c>
      <c r="Q80" s="276">
        <f t="shared" si="1"/>
        <v>100000</v>
      </c>
      <c r="R80" s="277">
        <f t="shared" si="11"/>
        <v>0</v>
      </c>
      <c r="S80" s="287">
        <f t="shared" si="12"/>
        <v>0</v>
      </c>
      <c r="T80" s="287">
        <f t="shared" si="13"/>
        <v>25000</v>
      </c>
      <c r="U80" s="287">
        <f t="shared" si="14"/>
        <v>25000</v>
      </c>
      <c r="V80" s="288">
        <f t="shared" si="15"/>
        <v>25000</v>
      </c>
      <c r="W80" s="289">
        <f t="shared" si="10"/>
        <v>25000</v>
      </c>
      <c r="X80" s="257"/>
      <c r="Y80" s="258"/>
      <c r="Z80" s="254"/>
      <c r="AA80" s="259"/>
      <c r="AB80" s="258"/>
      <c r="AC80" s="258"/>
      <c r="AD80" s="260"/>
      <c r="AE80" s="261"/>
      <c r="AF80" s="956">
        <f>SUM(50000/2)</f>
        <v>25000</v>
      </c>
      <c r="AG80" s="260"/>
      <c r="AH80" s="261"/>
      <c r="AI80" s="956">
        <f>SUM(50000/2)</f>
        <v>25000</v>
      </c>
      <c r="AJ80" s="260"/>
      <c r="AK80" s="261"/>
      <c r="AL80" s="956">
        <f>SUM(50000/2)</f>
        <v>25000</v>
      </c>
      <c r="AM80" s="260"/>
      <c r="AN80" s="261"/>
      <c r="AO80" s="956">
        <f>SUM(50000/2)</f>
        <v>25000</v>
      </c>
      <c r="AP80" s="385" t="s">
        <v>359</v>
      </c>
      <c r="AQ80" s="250"/>
      <c r="AR80" s="387" t="s">
        <v>346</v>
      </c>
      <c r="AS80" s="387" t="s">
        <v>355</v>
      </c>
      <c r="AT80" s="387" t="s">
        <v>347</v>
      </c>
    </row>
    <row r="81" spans="1:46" s="173" customFormat="1" ht="348" x14ac:dyDescent="0.35">
      <c r="A81" s="323" t="s">
        <v>100</v>
      </c>
      <c r="B81" s="242" t="s">
        <v>348</v>
      </c>
      <c r="C81" s="242"/>
      <c r="D81" s="243" t="s">
        <v>349</v>
      </c>
      <c r="E81" s="243" t="s">
        <v>263</v>
      </c>
      <c r="F81" s="244" t="s">
        <v>271</v>
      </c>
      <c r="G81" s="255" t="s">
        <v>280</v>
      </c>
      <c r="H81" s="244" t="s">
        <v>360</v>
      </c>
      <c r="I81" s="908" t="s">
        <v>361</v>
      </c>
      <c r="J81" s="912" t="s">
        <v>362</v>
      </c>
      <c r="K81" s="912" t="s">
        <v>363</v>
      </c>
      <c r="L81" s="811"/>
      <c r="M81" s="244">
        <v>1</v>
      </c>
      <c r="N81" s="244"/>
      <c r="O81" s="244" t="s">
        <v>111</v>
      </c>
      <c r="P81" s="243" t="s">
        <v>190</v>
      </c>
      <c r="Q81" s="276">
        <f t="shared" si="1"/>
        <v>600000</v>
      </c>
      <c r="R81" s="277">
        <f t="shared" si="11"/>
        <v>0</v>
      </c>
      <c r="S81" s="287">
        <f t="shared" si="12"/>
        <v>0</v>
      </c>
      <c r="T81" s="287">
        <f t="shared" si="13"/>
        <v>150000</v>
      </c>
      <c r="U81" s="287">
        <f t="shared" si="14"/>
        <v>150000</v>
      </c>
      <c r="V81" s="288">
        <f t="shared" si="15"/>
        <v>150000</v>
      </c>
      <c r="W81" s="289">
        <f t="shared" si="10"/>
        <v>150000</v>
      </c>
      <c r="X81" s="257"/>
      <c r="Y81" s="258"/>
      <c r="Z81" s="254"/>
      <c r="AA81" s="259"/>
      <c r="AB81" s="258"/>
      <c r="AC81" s="258"/>
      <c r="AD81" s="260"/>
      <c r="AE81" s="957">
        <f>SUM(300000/2)</f>
        <v>150000</v>
      </c>
      <c r="AF81" s="262"/>
      <c r="AG81" s="260"/>
      <c r="AH81" s="957">
        <f>SUM(300000/2)</f>
        <v>150000</v>
      </c>
      <c r="AI81" s="262"/>
      <c r="AJ81" s="260"/>
      <c r="AK81" s="957">
        <f>SUM(300000/2)</f>
        <v>150000</v>
      </c>
      <c r="AL81" s="263"/>
      <c r="AM81" s="260"/>
      <c r="AN81" s="957">
        <f>SUM(300000/2)</f>
        <v>150000</v>
      </c>
      <c r="AO81" s="262"/>
      <c r="AP81" s="385" t="s">
        <v>364</v>
      </c>
      <c r="AQ81" s="250"/>
      <c r="AR81" s="387" t="s">
        <v>365</v>
      </c>
      <c r="AS81" s="387" t="s">
        <v>355</v>
      </c>
      <c r="AT81" s="387" t="s">
        <v>347</v>
      </c>
    </row>
    <row r="82" spans="1:46" s="173" customFormat="1" ht="304.5" x14ac:dyDescent="0.25">
      <c r="A82" s="323" t="s">
        <v>100</v>
      </c>
      <c r="B82" s="242" t="s">
        <v>339</v>
      </c>
      <c r="C82" s="242"/>
      <c r="D82" s="243" t="s">
        <v>366</v>
      </c>
      <c r="E82" s="243" t="s">
        <v>103</v>
      </c>
      <c r="F82" s="244" t="s">
        <v>185</v>
      </c>
      <c r="G82" s="255" t="s">
        <v>127</v>
      </c>
      <c r="H82" s="525" t="s">
        <v>367</v>
      </c>
      <c r="I82" s="908" t="s">
        <v>368</v>
      </c>
      <c r="J82" s="912" t="s">
        <v>369</v>
      </c>
      <c r="K82" s="912" t="s">
        <v>370</v>
      </c>
      <c r="L82" s="811"/>
      <c r="M82" s="244">
        <v>1</v>
      </c>
      <c r="N82" s="244"/>
      <c r="O82" s="244" t="s">
        <v>111</v>
      </c>
      <c r="P82" s="243" t="s">
        <v>190</v>
      </c>
      <c r="Q82" s="276">
        <f t="shared" si="1"/>
        <v>400000</v>
      </c>
      <c r="R82" s="277">
        <f t="shared" si="11"/>
        <v>0</v>
      </c>
      <c r="S82" s="287">
        <f t="shared" si="12"/>
        <v>0</v>
      </c>
      <c r="T82" s="287">
        <f t="shared" si="13"/>
        <v>100000</v>
      </c>
      <c r="U82" s="287">
        <f t="shared" si="14"/>
        <v>100000</v>
      </c>
      <c r="V82" s="288">
        <f t="shared" si="15"/>
        <v>100000</v>
      </c>
      <c r="W82" s="289">
        <f t="shared" si="10"/>
        <v>100000</v>
      </c>
      <c r="X82" s="257"/>
      <c r="Y82" s="258"/>
      <c r="Z82" s="254"/>
      <c r="AA82" s="259"/>
      <c r="AB82" s="258"/>
      <c r="AC82" s="258"/>
      <c r="AD82" s="260">
        <v>0</v>
      </c>
      <c r="AE82" s="261">
        <v>0</v>
      </c>
      <c r="AF82" s="262">
        <v>100000</v>
      </c>
      <c r="AG82" s="260">
        <v>0</v>
      </c>
      <c r="AH82" s="261">
        <v>0</v>
      </c>
      <c r="AI82" s="262">
        <v>100000</v>
      </c>
      <c r="AJ82" s="260">
        <v>0</v>
      </c>
      <c r="AK82" s="261">
        <v>0</v>
      </c>
      <c r="AL82" s="263">
        <v>100000</v>
      </c>
      <c r="AM82" s="260">
        <v>0</v>
      </c>
      <c r="AN82" s="261">
        <v>0</v>
      </c>
      <c r="AO82" s="262">
        <v>100000</v>
      </c>
      <c r="AP82" s="385" t="s">
        <v>371</v>
      </c>
      <c r="AQ82" s="250"/>
      <c r="AR82" s="387" t="s">
        <v>346</v>
      </c>
      <c r="AS82" s="387" t="s">
        <v>372</v>
      </c>
      <c r="AT82" s="387" t="s">
        <v>347</v>
      </c>
    </row>
    <row r="83" spans="1:46" s="173" customFormat="1" ht="203" x14ac:dyDescent="0.35">
      <c r="A83" s="323" t="s">
        <v>100</v>
      </c>
      <c r="B83" s="242" t="s">
        <v>339</v>
      </c>
      <c r="C83" s="242"/>
      <c r="D83" s="243" t="s">
        <v>373</v>
      </c>
      <c r="E83" s="243" t="s">
        <v>103</v>
      </c>
      <c r="F83" s="244" t="s">
        <v>332</v>
      </c>
      <c r="G83" s="255" t="s">
        <v>127</v>
      </c>
      <c r="H83" s="244"/>
      <c r="I83" s="958" t="s">
        <v>374</v>
      </c>
      <c r="J83" s="912" t="s">
        <v>375</v>
      </c>
      <c r="K83" s="912" t="s">
        <v>376</v>
      </c>
      <c r="L83" s="811"/>
      <c r="M83" s="244">
        <v>1</v>
      </c>
      <c r="N83" s="244"/>
      <c r="O83" s="244" t="s">
        <v>111</v>
      </c>
      <c r="P83" s="243" t="s">
        <v>190</v>
      </c>
      <c r="Q83" s="276">
        <f t="shared" si="1"/>
        <v>0</v>
      </c>
      <c r="R83" s="277">
        <f t="shared" si="11"/>
        <v>0</v>
      </c>
      <c r="S83" s="287">
        <f t="shared" si="12"/>
        <v>0</v>
      </c>
      <c r="T83" s="287">
        <f t="shared" si="13"/>
        <v>0</v>
      </c>
      <c r="U83" s="287">
        <f t="shared" si="14"/>
        <v>0</v>
      </c>
      <c r="V83" s="288">
        <f t="shared" si="15"/>
        <v>0</v>
      </c>
      <c r="W83" s="289">
        <f t="shared" si="10"/>
        <v>0</v>
      </c>
      <c r="X83" s="257"/>
      <c r="Y83" s="258"/>
      <c r="Z83" s="254"/>
      <c r="AA83" s="259"/>
      <c r="AB83" s="258"/>
      <c r="AC83" s="258"/>
      <c r="AD83" s="260"/>
      <c r="AE83" s="261"/>
      <c r="AF83" s="262"/>
      <c r="AG83" s="260"/>
      <c r="AH83" s="962">
        <v>0</v>
      </c>
      <c r="AI83" s="963">
        <v>0</v>
      </c>
      <c r="AJ83" s="260"/>
      <c r="AK83" s="962">
        <v>0</v>
      </c>
      <c r="AL83" s="963">
        <v>0</v>
      </c>
      <c r="AM83" s="260"/>
      <c r="AN83" s="962">
        <v>0</v>
      </c>
      <c r="AO83" s="963">
        <v>0</v>
      </c>
      <c r="AP83" s="385" t="s">
        <v>377</v>
      </c>
      <c r="AQ83" s="250"/>
      <c r="AR83" s="387" t="s">
        <v>346</v>
      </c>
      <c r="AS83" s="387" t="s">
        <v>378</v>
      </c>
      <c r="AT83" s="387" t="s">
        <v>347</v>
      </c>
    </row>
    <row r="84" spans="1:46" s="173" customFormat="1" ht="232" x14ac:dyDescent="0.35">
      <c r="A84" s="323" t="s">
        <v>100</v>
      </c>
      <c r="B84" s="242" t="s">
        <v>339</v>
      </c>
      <c r="C84" s="242"/>
      <c r="D84" s="243" t="s">
        <v>373</v>
      </c>
      <c r="E84" s="243" t="s">
        <v>103</v>
      </c>
      <c r="F84" s="244" t="s">
        <v>310</v>
      </c>
      <c r="G84" s="255" t="s">
        <v>127</v>
      </c>
      <c r="H84" s="244"/>
      <c r="I84" s="908" t="s">
        <v>379</v>
      </c>
      <c r="J84" s="912" t="s">
        <v>380</v>
      </c>
      <c r="K84" s="912" t="s">
        <v>381</v>
      </c>
      <c r="L84" s="811"/>
      <c r="M84" s="244">
        <v>1</v>
      </c>
      <c r="N84" s="244"/>
      <c r="O84" s="244" t="s">
        <v>111</v>
      </c>
      <c r="P84" s="243" t="s">
        <v>190</v>
      </c>
      <c r="Q84" s="276">
        <f t="shared" si="1"/>
        <v>455983.8444</v>
      </c>
      <c r="R84" s="277">
        <f t="shared" si="11"/>
        <v>0</v>
      </c>
      <c r="S84" s="287">
        <f t="shared" si="12"/>
        <v>0</v>
      </c>
      <c r="T84" s="287">
        <f t="shared" si="13"/>
        <v>0</v>
      </c>
      <c r="U84" s="287">
        <f t="shared" si="14"/>
        <v>143229</v>
      </c>
      <c r="V84" s="288">
        <f t="shared" si="15"/>
        <v>151822.74000000002</v>
      </c>
      <c r="W84" s="289">
        <f t="shared" si="10"/>
        <v>160932.10440000001</v>
      </c>
      <c r="X84" s="257"/>
      <c r="Y84" s="258"/>
      <c r="Z84" s="254"/>
      <c r="AA84" s="259"/>
      <c r="AB84" s="258"/>
      <c r="AC84" s="258"/>
      <c r="AD84" s="260"/>
      <c r="AE84" s="261"/>
      <c r="AF84" s="262"/>
      <c r="AG84" s="260"/>
      <c r="AH84" s="261">
        <v>125229</v>
      </c>
      <c r="AI84" s="262">
        <v>18000</v>
      </c>
      <c r="AJ84" s="260"/>
      <c r="AK84" s="261">
        <f t="shared" ref="AK84:AL85" si="37">AH84*1.06</f>
        <v>132742.74000000002</v>
      </c>
      <c r="AL84" s="263">
        <f t="shared" si="37"/>
        <v>19080</v>
      </c>
      <c r="AM84" s="260"/>
      <c r="AN84" s="261">
        <f t="shared" ref="AN84:AO85" si="38">AK84*1.06</f>
        <v>140707.30440000002</v>
      </c>
      <c r="AO84" s="262">
        <f t="shared" si="38"/>
        <v>20224.8</v>
      </c>
      <c r="AP84" s="385" t="s">
        <v>382</v>
      </c>
      <c r="AQ84" s="250"/>
      <c r="AR84" s="387" t="s">
        <v>346</v>
      </c>
      <c r="AS84" s="387" t="s">
        <v>378</v>
      </c>
      <c r="AT84" s="387" t="s">
        <v>347</v>
      </c>
    </row>
    <row r="85" spans="1:46" s="173" customFormat="1" ht="362.5" x14ac:dyDescent="0.35">
      <c r="A85" s="323" t="s">
        <v>100</v>
      </c>
      <c r="B85" s="242" t="s">
        <v>339</v>
      </c>
      <c r="C85" s="242"/>
      <c r="D85" s="243" t="s">
        <v>373</v>
      </c>
      <c r="E85" s="243" t="s">
        <v>103</v>
      </c>
      <c r="F85" s="244" t="s">
        <v>383</v>
      </c>
      <c r="G85" s="255" t="s">
        <v>127</v>
      </c>
      <c r="H85" s="244"/>
      <c r="I85" s="908" t="s">
        <v>384</v>
      </c>
      <c r="J85" s="912" t="s">
        <v>385</v>
      </c>
      <c r="K85" s="940" t="s">
        <v>386</v>
      </c>
      <c r="L85" s="812"/>
      <c r="M85" s="244">
        <v>1</v>
      </c>
      <c r="N85" s="244"/>
      <c r="O85" s="244" t="s">
        <v>111</v>
      </c>
      <c r="P85" s="243" t="s">
        <v>190</v>
      </c>
      <c r="Q85" s="276">
        <f t="shared" si="1"/>
        <v>254980.89120000004</v>
      </c>
      <c r="R85" s="277">
        <f t="shared" si="11"/>
        <v>0</v>
      </c>
      <c r="S85" s="287">
        <f t="shared" si="12"/>
        <v>0</v>
      </c>
      <c r="T85" s="287">
        <f t="shared" si="13"/>
        <v>0</v>
      </c>
      <c r="U85" s="287">
        <f t="shared" si="14"/>
        <v>80092</v>
      </c>
      <c r="V85" s="288">
        <f t="shared" si="15"/>
        <v>84897.52</v>
      </c>
      <c r="W85" s="289">
        <f t="shared" si="10"/>
        <v>89991.371200000023</v>
      </c>
      <c r="X85" s="257"/>
      <c r="Y85" s="258"/>
      <c r="Z85" s="254"/>
      <c r="AA85" s="259"/>
      <c r="AB85" s="258"/>
      <c r="AC85" s="258"/>
      <c r="AD85" s="260"/>
      <c r="AE85" s="261"/>
      <c r="AF85" s="262"/>
      <c r="AG85" s="260"/>
      <c r="AH85" s="261">
        <v>66092</v>
      </c>
      <c r="AI85" s="262">
        <v>14000</v>
      </c>
      <c r="AJ85" s="260"/>
      <c r="AK85" s="261">
        <f t="shared" si="37"/>
        <v>70057.52</v>
      </c>
      <c r="AL85" s="263">
        <f t="shared" si="37"/>
        <v>14840</v>
      </c>
      <c r="AM85" s="260"/>
      <c r="AN85" s="261">
        <f t="shared" si="38"/>
        <v>74260.971200000015</v>
      </c>
      <c r="AO85" s="262">
        <f t="shared" si="38"/>
        <v>15730.400000000001</v>
      </c>
      <c r="AP85" s="385" t="s">
        <v>387</v>
      </c>
      <c r="AQ85" s="250"/>
      <c r="AR85" s="387" t="s">
        <v>346</v>
      </c>
      <c r="AS85" s="387" t="s">
        <v>378</v>
      </c>
      <c r="AT85" s="387" t="s">
        <v>347</v>
      </c>
    </row>
    <row r="86" spans="1:46" s="173" customFormat="1" ht="159.5" x14ac:dyDescent="0.35">
      <c r="A86" s="323" t="s">
        <v>100</v>
      </c>
      <c r="B86" s="840" t="s">
        <v>145</v>
      </c>
      <c r="C86" s="840"/>
      <c r="D86" s="841" t="s">
        <v>388</v>
      </c>
      <c r="E86" s="841" t="s">
        <v>103</v>
      </c>
      <c r="F86" s="841" t="s">
        <v>104</v>
      </c>
      <c r="G86" s="842" t="s">
        <v>127</v>
      </c>
      <c r="H86" s="841" t="s">
        <v>106</v>
      </c>
      <c r="I86" s="841" t="s">
        <v>389</v>
      </c>
      <c r="J86" s="1109" t="s">
        <v>862</v>
      </c>
      <c r="K86" s="841" t="s">
        <v>390</v>
      </c>
      <c r="L86" s="843" t="s">
        <v>110</v>
      </c>
      <c r="M86" s="841">
        <v>1</v>
      </c>
      <c r="N86" s="841"/>
      <c r="O86" s="841" t="s">
        <v>111</v>
      </c>
      <c r="P86" s="841" t="s">
        <v>112</v>
      </c>
      <c r="Q86" s="276">
        <f t="shared" si="1"/>
        <v>2288000</v>
      </c>
      <c r="R86" s="277">
        <f t="shared" si="11"/>
        <v>0</v>
      </c>
      <c r="S86" s="287">
        <f t="shared" si="12"/>
        <v>503000</v>
      </c>
      <c r="T86" s="287">
        <f t="shared" si="13"/>
        <v>1385000</v>
      </c>
      <c r="U86" s="287">
        <f t="shared" si="14"/>
        <v>400000</v>
      </c>
      <c r="V86" s="288">
        <f t="shared" si="15"/>
        <v>0</v>
      </c>
      <c r="W86" s="289">
        <f t="shared" si="10"/>
        <v>0</v>
      </c>
      <c r="X86" s="494"/>
      <c r="Y86" s="495"/>
      <c r="Z86" s="496"/>
      <c r="AA86" s="964">
        <v>428000</v>
      </c>
      <c r="AB86" s="495">
        <v>0</v>
      </c>
      <c r="AC86" s="495">
        <v>75000</v>
      </c>
      <c r="AD86" s="965">
        <v>1345000</v>
      </c>
      <c r="AE86" s="495">
        <v>0</v>
      </c>
      <c r="AF86" s="496">
        <v>40000</v>
      </c>
      <c r="AG86" s="494">
        <v>400000</v>
      </c>
      <c r="AH86" s="495">
        <v>0</v>
      </c>
      <c r="AI86" s="496">
        <v>0</v>
      </c>
      <c r="AJ86" s="494"/>
      <c r="AK86" s="495"/>
      <c r="AL86" s="495"/>
      <c r="AM86" s="498"/>
      <c r="AN86" s="499"/>
      <c r="AO86" s="500"/>
      <c r="AP86" s="844" t="s">
        <v>391</v>
      </c>
      <c r="AQ86" s="845" t="s">
        <v>134</v>
      </c>
      <c r="AR86" s="821" t="s">
        <v>392</v>
      </c>
      <c r="AS86" s="846" t="s">
        <v>237</v>
      </c>
      <c r="AT86" s="846"/>
    </row>
    <row r="87" spans="1:46" s="173" customFormat="1" ht="15.5" x14ac:dyDescent="0.35">
      <c r="A87" s="323" t="s">
        <v>100</v>
      </c>
      <c r="B87" s="840" t="s">
        <v>145</v>
      </c>
      <c r="C87" s="840"/>
      <c r="D87" s="841" t="s">
        <v>388</v>
      </c>
      <c r="E87" s="841" t="s">
        <v>103</v>
      </c>
      <c r="F87" s="841" t="s">
        <v>126</v>
      </c>
      <c r="G87" s="847" t="s">
        <v>127</v>
      </c>
      <c r="H87" s="841" t="s">
        <v>106</v>
      </c>
      <c r="I87" s="841" t="s">
        <v>156</v>
      </c>
      <c r="J87" s="840" t="s">
        <v>393</v>
      </c>
      <c r="K87" s="841" t="s">
        <v>394</v>
      </c>
      <c r="L87" s="843" t="s">
        <v>395</v>
      </c>
      <c r="M87" s="841">
        <v>1</v>
      </c>
      <c r="N87" s="841"/>
      <c r="O87" s="841" t="s">
        <v>111</v>
      </c>
      <c r="P87" s="841" t="s">
        <v>112</v>
      </c>
      <c r="Q87" s="276">
        <f t="shared" si="1"/>
        <v>0</v>
      </c>
      <c r="R87" s="277">
        <f t="shared" si="11"/>
        <v>0</v>
      </c>
      <c r="S87" s="287">
        <f t="shared" si="12"/>
        <v>0</v>
      </c>
      <c r="T87" s="287">
        <f t="shared" si="13"/>
        <v>0</v>
      </c>
      <c r="U87" s="287">
        <f t="shared" si="14"/>
        <v>0</v>
      </c>
      <c r="V87" s="288">
        <f t="shared" si="15"/>
        <v>0</v>
      </c>
      <c r="W87" s="289">
        <f t="shared" si="10"/>
        <v>0</v>
      </c>
      <c r="X87" s="494"/>
      <c r="Y87" s="495"/>
      <c r="Z87" s="496"/>
      <c r="AA87" s="877">
        <v>0</v>
      </c>
      <c r="AB87" s="495">
        <v>0</v>
      </c>
      <c r="AC87" s="878">
        <v>0</v>
      </c>
      <c r="AD87" s="879">
        <v>0</v>
      </c>
      <c r="AE87" s="495">
        <v>0</v>
      </c>
      <c r="AF87" s="880">
        <v>0</v>
      </c>
      <c r="AG87" s="494">
        <v>0</v>
      </c>
      <c r="AH87" s="495">
        <v>0</v>
      </c>
      <c r="AI87" s="496">
        <v>0</v>
      </c>
      <c r="AJ87" s="494"/>
      <c r="AK87" s="495"/>
      <c r="AL87" s="495"/>
      <c r="AM87" s="498"/>
      <c r="AN87" s="499"/>
      <c r="AO87" s="500"/>
      <c r="AP87" s="848" t="s">
        <v>396</v>
      </c>
      <c r="AQ87" s="845" t="s">
        <v>134</v>
      </c>
      <c r="AR87" s="821" t="s">
        <v>392</v>
      </c>
      <c r="AS87" s="846" t="s">
        <v>237</v>
      </c>
      <c r="AT87" s="846"/>
    </row>
    <row r="88" spans="1:46" s="173" customFormat="1" ht="15.5" x14ac:dyDescent="0.35">
      <c r="A88" s="323" t="s">
        <v>100</v>
      </c>
      <c r="B88" s="840" t="s">
        <v>145</v>
      </c>
      <c r="C88" s="840"/>
      <c r="D88" s="841" t="s">
        <v>388</v>
      </c>
      <c r="E88" s="841" t="s">
        <v>103</v>
      </c>
      <c r="F88" s="841" t="s">
        <v>310</v>
      </c>
      <c r="G88" s="847" t="s">
        <v>127</v>
      </c>
      <c r="H88" s="841" t="s">
        <v>106</v>
      </c>
      <c r="I88" s="841" t="s">
        <v>397</v>
      </c>
      <c r="J88" s="840" t="s">
        <v>398</v>
      </c>
      <c r="K88" s="841" t="s">
        <v>399</v>
      </c>
      <c r="L88" s="843" t="s">
        <v>395</v>
      </c>
      <c r="M88" s="841">
        <v>1</v>
      </c>
      <c r="N88" s="841"/>
      <c r="O88" s="841" t="s">
        <v>111</v>
      </c>
      <c r="P88" s="841" t="s">
        <v>112</v>
      </c>
      <c r="Q88" s="276">
        <f t="shared" si="1"/>
        <v>0</v>
      </c>
      <c r="R88" s="277">
        <f t="shared" si="11"/>
        <v>0</v>
      </c>
      <c r="S88" s="287">
        <f t="shared" si="12"/>
        <v>0</v>
      </c>
      <c r="T88" s="287">
        <f t="shared" si="13"/>
        <v>0</v>
      </c>
      <c r="U88" s="287">
        <f t="shared" si="14"/>
        <v>0</v>
      </c>
      <c r="V88" s="288">
        <f t="shared" si="15"/>
        <v>0</v>
      </c>
      <c r="W88" s="289">
        <f t="shared" si="10"/>
        <v>0</v>
      </c>
      <c r="X88" s="494">
        <v>0</v>
      </c>
      <c r="Y88" s="495"/>
      <c r="Z88" s="496"/>
      <c r="AA88" s="877">
        <v>0</v>
      </c>
      <c r="AB88" s="495">
        <v>0</v>
      </c>
      <c r="AC88" s="495">
        <v>0</v>
      </c>
      <c r="AD88" s="879">
        <v>0</v>
      </c>
      <c r="AE88" s="495">
        <v>0</v>
      </c>
      <c r="AF88" s="496">
        <v>0</v>
      </c>
      <c r="AG88" s="494">
        <v>0</v>
      </c>
      <c r="AH88" s="495">
        <v>0</v>
      </c>
      <c r="AI88" s="496">
        <v>0</v>
      </c>
      <c r="AJ88" s="494"/>
      <c r="AK88" s="495"/>
      <c r="AL88" s="495"/>
      <c r="AM88" s="498"/>
      <c r="AN88" s="499"/>
      <c r="AO88" s="500"/>
      <c r="AP88" s="848" t="s">
        <v>396</v>
      </c>
      <c r="AQ88" s="845" t="s">
        <v>134</v>
      </c>
      <c r="AR88" s="821" t="s">
        <v>392</v>
      </c>
      <c r="AS88" s="846" t="s">
        <v>378</v>
      </c>
      <c r="AT88" s="846"/>
    </row>
    <row r="89" spans="1:46" s="173" customFormat="1" ht="15.5" x14ac:dyDescent="0.35">
      <c r="A89" s="323" t="s">
        <v>100</v>
      </c>
      <c r="B89" s="840" t="s">
        <v>145</v>
      </c>
      <c r="C89" s="840"/>
      <c r="D89" s="841" t="s">
        <v>388</v>
      </c>
      <c r="E89" s="841" t="s">
        <v>103</v>
      </c>
      <c r="F89" s="841" t="s">
        <v>104</v>
      </c>
      <c r="G89" s="847" t="s">
        <v>127</v>
      </c>
      <c r="H89" s="841" t="s">
        <v>106</v>
      </c>
      <c r="I89" s="841" t="s">
        <v>400</v>
      </c>
      <c r="J89" s="841" t="s">
        <v>401</v>
      </c>
      <c r="K89" s="841" t="s">
        <v>402</v>
      </c>
      <c r="L89" s="843" t="s">
        <v>395</v>
      </c>
      <c r="M89" s="841">
        <v>1</v>
      </c>
      <c r="N89" s="841"/>
      <c r="O89" s="841" t="s">
        <v>111</v>
      </c>
      <c r="P89" s="841" t="s">
        <v>112</v>
      </c>
      <c r="Q89" s="276">
        <f t="shared" si="1"/>
        <v>0</v>
      </c>
      <c r="R89" s="277">
        <f t="shared" si="11"/>
        <v>0</v>
      </c>
      <c r="S89" s="287">
        <f t="shared" si="12"/>
        <v>0</v>
      </c>
      <c r="T89" s="287">
        <f t="shared" si="13"/>
        <v>0</v>
      </c>
      <c r="U89" s="287">
        <f t="shared" si="14"/>
        <v>0</v>
      </c>
      <c r="V89" s="288">
        <f t="shared" si="15"/>
        <v>0</v>
      </c>
      <c r="W89" s="289">
        <f t="shared" si="10"/>
        <v>0</v>
      </c>
      <c r="X89" s="494">
        <v>0</v>
      </c>
      <c r="Y89" s="495">
        <v>0</v>
      </c>
      <c r="Z89" s="496">
        <v>0</v>
      </c>
      <c r="AA89" s="497">
        <v>0</v>
      </c>
      <c r="AB89" s="495">
        <v>0</v>
      </c>
      <c r="AC89" s="878">
        <v>0</v>
      </c>
      <c r="AD89" s="494">
        <v>0</v>
      </c>
      <c r="AE89" s="495">
        <v>0</v>
      </c>
      <c r="AF89" s="496">
        <v>0</v>
      </c>
      <c r="AG89" s="494">
        <v>0</v>
      </c>
      <c r="AH89" s="495">
        <v>0</v>
      </c>
      <c r="AI89" s="496">
        <v>0</v>
      </c>
      <c r="AJ89" s="494"/>
      <c r="AK89" s="495"/>
      <c r="AL89" s="495"/>
      <c r="AM89" s="498"/>
      <c r="AN89" s="499"/>
      <c r="AO89" s="500"/>
      <c r="AP89" s="848" t="s">
        <v>403</v>
      </c>
      <c r="AQ89" s="845" t="s">
        <v>134</v>
      </c>
      <c r="AR89" s="821" t="s">
        <v>392</v>
      </c>
      <c r="AS89" s="846" t="s">
        <v>237</v>
      </c>
      <c r="AT89" s="846"/>
    </row>
    <row r="90" spans="1:46" s="173" customFormat="1" ht="15.5" x14ac:dyDescent="0.35">
      <c r="A90" s="323" t="s">
        <v>100</v>
      </c>
      <c r="B90" s="840" t="s">
        <v>145</v>
      </c>
      <c r="C90" s="840"/>
      <c r="D90" s="841" t="s">
        <v>388</v>
      </c>
      <c r="E90" s="841" t="s">
        <v>103</v>
      </c>
      <c r="F90" s="841" t="s">
        <v>104</v>
      </c>
      <c r="G90" s="842" t="s">
        <v>127</v>
      </c>
      <c r="H90" s="841" t="s">
        <v>106</v>
      </c>
      <c r="I90" s="841" t="s">
        <v>404</v>
      </c>
      <c r="J90" s="840" t="s">
        <v>405</v>
      </c>
      <c r="K90" s="841" t="s">
        <v>406</v>
      </c>
      <c r="L90" s="843" t="s">
        <v>395</v>
      </c>
      <c r="M90" s="841">
        <v>1</v>
      </c>
      <c r="N90" s="841"/>
      <c r="O90" s="841" t="s">
        <v>111</v>
      </c>
      <c r="P90" s="841" t="s">
        <v>112</v>
      </c>
      <c r="Q90" s="276">
        <f t="shared" si="1"/>
        <v>0</v>
      </c>
      <c r="R90" s="277">
        <f t="shared" si="11"/>
        <v>0</v>
      </c>
      <c r="S90" s="287">
        <f t="shared" si="12"/>
        <v>0</v>
      </c>
      <c r="T90" s="287">
        <f t="shared" si="13"/>
        <v>0</v>
      </c>
      <c r="U90" s="287">
        <f t="shared" si="14"/>
        <v>0</v>
      </c>
      <c r="V90" s="288">
        <f t="shared" si="15"/>
        <v>0</v>
      </c>
      <c r="W90" s="289">
        <f t="shared" si="10"/>
        <v>0</v>
      </c>
      <c r="X90" s="494"/>
      <c r="Y90" s="495"/>
      <c r="Z90" s="496"/>
      <c r="AA90" s="497"/>
      <c r="AB90" s="495"/>
      <c r="AC90" s="878">
        <v>0</v>
      </c>
      <c r="AD90" s="494"/>
      <c r="AE90" s="495"/>
      <c r="AF90" s="880">
        <v>0</v>
      </c>
      <c r="AG90" s="494"/>
      <c r="AH90" s="495"/>
      <c r="AI90" s="496"/>
      <c r="AJ90" s="494"/>
      <c r="AK90" s="495"/>
      <c r="AL90" s="495"/>
      <c r="AM90" s="498"/>
      <c r="AN90" s="499"/>
      <c r="AO90" s="500"/>
      <c r="AP90" s="844" t="s">
        <v>391</v>
      </c>
      <c r="AQ90" s="845" t="s">
        <v>118</v>
      </c>
      <c r="AR90" s="849"/>
      <c r="AS90" s="846" t="s">
        <v>378</v>
      </c>
      <c r="AT90" s="846"/>
    </row>
    <row r="91" spans="1:46" s="173" customFormat="1" ht="15.5" x14ac:dyDescent="0.35">
      <c r="A91" s="323" t="s">
        <v>100</v>
      </c>
      <c r="B91" s="840" t="s">
        <v>145</v>
      </c>
      <c r="C91" s="840"/>
      <c r="D91" s="841" t="s">
        <v>388</v>
      </c>
      <c r="E91" s="841" t="s">
        <v>103</v>
      </c>
      <c r="F91" s="841" t="s">
        <v>310</v>
      </c>
      <c r="G91" s="842" t="s">
        <v>127</v>
      </c>
      <c r="H91" s="841" t="s">
        <v>106</v>
      </c>
      <c r="I91" s="841" t="s">
        <v>407</v>
      </c>
      <c r="J91" s="840" t="s">
        <v>408</v>
      </c>
      <c r="K91" s="841" t="s">
        <v>409</v>
      </c>
      <c r="L91" s="843" t="s">
        <v>395</v>
      </c>
      <c r="M91" s="841">
        <v>1</v>
      </c>
      <c r="N91" s="841"/>
      <c r="O91" s="841" t="s">
        <v>111</v>
      </c>
      <c r="P91" s="841" t="s">
        <v>112</v>
      </c>
      <c r="Q91" s="276">
        <f t="shared" si="1"/>
        <v>0</v>
      </c>
      <c r="R91" s="277">
        <f t="shared" si="11"/>
        <v>0</v>
      </c>
      <c r="S91" s="287">
        <f t="shared" si="12"/>
        <v>0</v>
      </c>
      <c r="T91" s="287">
        <f t="shared" si="13"/>
        <v>0</v>
      </c>
      <c r="U91" s="287">
        <f t="shared" si="14"/>
        <v>0</v>
      </c>
      <c r="V91" s="288">
        <f t="shared" si="15"/>
        <v>0</v>
      </c>
      <c r="W91" s="289">
        <f t="shared" si="10"/>
        <v>0</v>
      </c>
      <c r="X91" s="494"/>
      <c r="Y91" s="495"/>
      <c r="Z91" s="496"/>
      <c r="AA91" s="497"/>
      <c r="AB91" s="495"/>
      <c r="AC91" s="495"/>
      <c r="AD91" s="879">
        <v>0</v>
      </c>
      <c r="AE91" s="495"/>
      <c r="AF91" s="880">
        <v>0</v>
      </c>
      <c r="AG91" s="494"/>
      <c r="AH91" s="495"/>
      <c r="AI91" s="496"/>
      <c r="AJ91" s="494"/>
      <c r="AK91" s="495"/>
      <c r="AL91" s="495"/>
      <c r="AM91" s="498"/>
      <c r="AN91" s="499"/>
      <c r="AO91" s="500"/>
      <c r="AP91" s="844" t="s">
        <v>391</v>
      </c>
      <c r="AQ91" s="845" t="s">
        <v>134</v>
      </c>
      <c r="AR91" s="846"/>
      <c r="AS91" s="846" t="s">
        <v>378</v>
      </c>
      <c r="AT91" s="846"/>
    </row>
    <row r="92" spans="1:46" s="173" customFormat="1" ht="72.5" x14ac:dyDescent="0.35">
      <c r="A92" s="490" t="s">
        <v>100</v>
      </c>
      <c r="B92" s="588" t="s">
        <v>339</v>
      </c>
      <c r="C92" s="491"/>
      <c r="D92" s="589"/>
      <c r="E92" s="492" t="s">
        <v>103</v>
      </c>
      <c r="F92" s="492" t="s">
        <v>194</v>
      </c>
      <c r="G92" s="493" t="s">
        <v>168</v>
      </c>
      <c r="H92" s="493" t="s">
        <v>195</v>
      </c>
      <c r="I92" s="959" t="s">
        <v>410</v>
      </c>
      <c r="J92" s="941" t="s">
        <v>411</v>
      </c>
      <c r="K92" s="913" t="s">
        <v>412</v>
      </c>
      <c r="L92" s="813" t="s">
        <v>395</v>
      </c>
      <c r="M92" s="493">
        <v>1</v>
      </c>
      <c r="N92" s="493"/>
      <c r="O92" s="493"/>
      <c r="P92" s="493" t="s">
        <v>190</v>
      </c>
      <c r="Q92" s="276">
        <f t="shared" si="1"/>
        <v>656000</v>
      </c>
      <c r="R92" s="277">
        <f t="shared" si="11"/>
        <v>0</v>
      </c>
      <c r="S92" s="287">
        <f t="shared" si="12"/>
        <v>0</v>
      </c>
      <c r="T92" s="287">
        <f t="shared" si="13"/>
        <v>164000</v>
      </c>
      <c r="U92" s="287">
        <f t="shared" si="14"/>
        <v>164000</v>
      </c>
      <c r="V92" s="288">
        <f t="shared" si="15"/>
        <v>164000</v>
      </c>
      <c r="W92" s="289">
        <f t="shared" si="10"/>
        <v>164000</v>
      </c>
      <c r="X92" s="501"/>
      <c r="Y92" s="502"/>
      <c r="Z92" s="500"/>
      <c r="AA92" s="503"/>
      <c r="AB92" s="502"/>
      <c r="AC92" s="502"/>
      <c r="AD92" s="790"/>
      <c r="AE92" s="791">
        <v>150000</v>
      </c>
      <c r="AF92" s="792">
        <v>14000</v>
      </c>
      <c r="AG92" s="790"/>
      <c r="AH92" s="791">
        <v>150000</v>
      </c>
      <c r="AI92" s="792">
        <v>14000</v>
      </c>
      <c r="AJ92" s="790"/>
      <c r="AK92" s="791">
        <v>150000</v>
      </c>
      <c r="AL92" s="792">
        <v>14000</v>
      </c>
      <c r="AM92" s="793"/>
      <c r="AN92" s="794">
        <v>150000</v>
      </c>
      <c r="AO92" s="795">
        <v>14000</v>
      </c>
      <c r="AP92" s="796" t="s">
        <v>413</v>
      </c>
      <c r="AQ92" s="797"/>
      <c r="AR92" s="798"/>
      <c r="AS92" s="799" t="s">
        <v>414</v>
      </c>
      <c r="AT92" s="800" t="s">
        <v>201</v>
      </c>
    </row>
    <row r="93" spans="1:46" s="173" customFormat="1" ht="15.5" x14ac:dyDescent="0.35">
      <c r="A93" s="323" t="s">
        <v>100</v>
      </c>
      <c r="B93" s="840" t="s">
        <v>124</v>
      </c>
      <c r="C93" s="840"/>
      <c r="D93" s="841" t="s">
        <v>125</v>
      </c>
      <c r="E93" s="841" t="s">
        <v>103</v>
      </c>
      <c r="F93" s="841" t="s">
        <v>119</v>
      </c>
      <c r="G93" s="842" t="s">
        <v>105</v>
      </c>
      <c r="H93" s="842" t="s">
        <v>106</v>
      </c>
      <c r="I93" s="842" t="s">
        <v>415</v>
      </c>
      <c r="J93" s="850" t="s">
        <v>416</v>
      </c>
      <c r="K93" s="842" t="s">
        <v>417</v>
      </c>
      <c r="L93" s="851" t="s">
        <v>110</v>
      </c>
      <c r="M93" s="842">
        <v>1</v>
      </c>
      <c r="N93" s="842"/>
      <c r="O93" s="842" t="s">
        <v>111</v>
      </c>
      <c r="P93" s="842" t="s">
        <v>112</v>
      </c>
      <c r="Q93" s="276">
        <f t="shared" ref="Q93:Q102" si="39">SUM(R93:W93)</f>
        <v>302000</v>
      </c>
      <c r="R93" s="277">
        <f t="shared" ref="R93:R102" si="40">SUM(X93:Z93)</f>
        <v>0</v>
      </c>
      <c r="S93" s="287">
        <f t="shared" ref="S93:S101" si="41">SUM(AA93:AC93)</f>
        <v>42000</v>
      </c>
      <c r="T93" s="287">
        <f t="shared" ref="T93:T102" si="42">SUM(AD93:AF93)</f>
        <v>65000</v>
      </c>
      <c r="U93" s="287">
        <f t="shared" ref="U93:V93" si="43">SUM(AE93:AG93)</f>
        <v>65000</v>
      </c>
      <c r="V93" s="287">
        <f t="shared" si="43"/>
        <v>65000</v>
      </c>
      <c r="W93" s="287">
        <f t="shared" ref="W93" si="44">SUM(AG93:AI93)</f>
        <v>65000</v>
      </c>
      <c r="X93" s="501"/>
      <c r="Y93" s="502"/>
      <c r="Z93" s="500"/>
      <c r="AA93" s="503"/>
      <c r="AB93" s="966">
        <v>32000</v>
      </c>
      <c r="AC93" s="966">
        <v>10000</v>
      </c>
      <c r="AD93" s="501"/>
      <c r="AE93" s="966">
        <v>55000</v>
      </c>
      <c r="AF93" s="967">
        <v>10000</v>
      </c>
      <c r="AG93" s="501"/>
      <c r="AH93" s="502">
        <v>55000</v>
      </c>
      <c r="AI93" s="500">
        <v>10000</v>
      </c>
      <c r="AJ93" s="501"/>
      <c r="AK93" s="502">
        <v>55000</v>
      </c>
      <c r="AL93" s="500">
        <v>10000</v>
      </c>
      <c r="AM93" s="498"/>
      <c r="AN93" s="499"/>
      <c r="AO93" s="500"/>
      <c r="AP93" s="852" t="s">
        <v>418</v>
      </c>
      <c r="AQ93" s="845" t="s">
        <v>134</v>
      </c>
      <c r="AR93" s="846"/>
      <c r="AS93" s="846" t="s">
        <v>237</v>
      </c>
      <c r="AT93" s="846"/>
    </row>
    <row r="94" spans="1:46" s="173" customFormat="1" ht="15.5" x14ac:dyDescent="0.35">
      <c r="A94" s="323" t="s">
        <v>100</v>
      </c>
      <c r="B94" s="840" t="s">
        <v>145</v>
      </c>
      <c r="C94" s="840"/>
      <c r="D94" s="841" t="s">
        <v>388</v>
      </c>
      <c r="E94" s="841" t="s">
        <v>103</v>
      </c>
      <c r="F94" s="841" t="s">
        <v>119</v>
      </c>
      <c r="G94" s="842" t="s">
        <v>105</v>
      </c>
      <c r="H94" s="841" t="s">
        <v>106</v>
      </c>
      <c r="I94" s="841" t="s">
        <v>419</v>
      </c>
      <c r="J94" s="853" t="s">
        <v>420</v>
      </c>
      <c r="K94" s="853" t="s">
        <v>421</v>
      </c>
      <c r="L94" s="854" t="s">
        <v>110</v>
      </c>
      <c r="M94" s="841">
        <v>1</v>
      </c>
      <c r="N94" s="841"/>
      <c r="O94" s="841" t="s">
        <v>111</v>
      </c>
      <c r="P94" s="841" t="s">
        <v>112</v>
      </c>
      <c r="Q94" s="276">
        <f t="shared" si="39"/>
        <v>661100</v>
      </c>
      <c r="R94" s="277">
        <f t="shared" si="40"/>
        <v>0</v>
      </c>
      <c r="S94" s="287">
        <f t="shared" si="41"/>
        <v>75000</v>
      </c>
      <c r="T94" s="287">
        <f t="shared" si="42"/>
        <v>135550</v>
      </c>
      <c r="U94" s="287">
        <f t="shared" ref="U94" si="45">SUM(AE94:AG94)</f>
        <v>135550</v>
      </c>
      <c r="V94" s="287">
        <f t="shared" ref="V94" si="46">SUM(AF94:AH94)</f>
        <v>155000</v>
      </c>
      <c r="W94" s="287">
        <f t="shared" ref="W94" si="47">SUM(AG94:AI94)</f>
        <v>160000</v>
      </c>
      <c r="X94" s="494"/>
      <c r="Y94" s="495"/>
      <c r="Z94" s="496"/>
      <c r="AA94" s="497"/>
      <c r="AB94" s="495">
        <v>70000</v>
      </c>
      <c r="AC94" s="495">
        <v>5000</v>
      </c>
      <c r="AD94" s="494"/>
      <c r="AE94" s="881">
        <v>130550</v>
      </c>
      <c r="AF94" s="496">
        <v>5000</v>
      </c>
      <c r="AG94" s="494"/>
      <c r="AH94" s="495">
        <v>150000</v>
      </c>
      <c r="AI94" s="496">
        <v>10000</v>
      </c>
      <c r="AJ94" s="494"/>
      <c r="AK94" s="495">
        <v>150000</v>
      </c>
      <c r="AL94" s="496">
        <v>10000</v>
      </c>
      <c r="AM94" s="498"/>
      <c r="AN94" s="499"/>
      <c r="AO94" s="500"/>
      <c r="AP94" s="852" t="s">
        <v>422</v>
      </c>
      <c r="AQ94" s="845" t="s">
        <v>134</v>
      </c>
      <c r="AR94" s="855"/>
      <c r="AS94" s="846" t="s">
        <v>237</v>
      </c>
      <c r="AT94" s="846"/>
    </row>
    <row r="95" spans="1:46" s="173" customFormat="1" ht="15.5" x14ac:dyDescent="0.35">
      <c r="A95" s="323" t="s">
        <v>100</v>
      </c>
      <c r="B95" s="840" t="s">
        <v>124</v>
      </c>
      <c r="C95" s="840"/>
      <c r="D95" s="841" t="s">
        <v>125</v>
      </c>
      <c r="E95" s="841" t="s">
        <v>103</v>
      </c>
      <c r="F95" s="841" t="s">
        <v>104</v>
      </c>
      <c r="G95" s="847" t="s">
        <v>127</v>
      </c>
      <c r="H95" s="841" t="s">
        <v>106</v>
      </c>
      <c r="I95" s="841" t="s">
        <v>423</v>
      </c>
      <c r="J95" s="841" t="s">
        <v>424</v>
      </c>
      <c r="K95" s="841" t="s">
        <v>425</v>
      </c>
      <c r="L95" s="843" t="s">
        <v>395</v>
      </c>
      <c r="M95" s="841">
        <v>2</v>
      </c>
      <c r="N95" s="841"/>
      <c r="O95" s="841" t="s">
        <v>111</v>
      </c>
      <c r="P95" s="841" t="s">
        <v>112</v>
      </c>
      <c r="Q95" s="276">
        <f t="shared" si="39"/>
        <v>0</v>
      </c>
      <c r="R95" s="277">
        <f t="shared" si="40"/>
        <v>0</v>
      </c>
      <c r="S95" s="287">
        <f t="shared" si="41"/>
        <v>0</v>
      </c>
      <c r="T95" s="287">
        <f t="shared" si="42"/>
        <v>0</v>
      </c>
      <c r="U95" s="287">
        <f t="shared" ref="U95:U102" si="48">SUM(AG95:AI95)</f>
        <v>0</v>
      </c>
      <c r="V95" s="288">
        <f t="shared" ref="V95:V102" si="49">SUM(AJ95:AL95)</f>
        <v>0</v>
      </c>
      <c r="W95" s="289">
        <f t="shared" ref="W95:W102" si="50">SUM(AM95:AO95)</f>
        <v>0</v>
      </c>
      <c r="X95" s="494"/>
      <c r="Y95" s="495"/>
      <c r="Z95" s="496"/>
      <c r="AA95" s="497"/>
      <c r="AB95" s="495"/>
      <c r="AC95" s="878">
        <v>0</v>
      </c>
      <c r="AD95" s="494"/>
      <c r="AE95" s="495"/>
      <c r="AF95" s="496"/>
      <c r="AG95" s="494"/>
      <c r="AH95" s="495"/>
      <c r="AI95" s="496"/>
      <c r="AJ95" s="494"/>
      <c r="AK95" s="495"/>
      <c r="AL95" s="495"/>
      <c r="AM95" s="498"/>
      <c r="AN95" s="499"/>
      <c r="AO95" s="500"/>
      <c r="AP95" s="852" t="s">
        <v>426</v>
      </c>
      <c r="AQ95" s="845" t="s">
        <v>118</v>
      </c>
      <c r="AR95" s="855"/>
      <c r="AS95" s="846" t="s">
        <v>237</v>
      </c>
      <c r="AT95" s="846"/>
    </row>
    <row r="96" spans="1:46" s="173" customFormat="1" ht="16" x14ac:dyDescent="0.35">
      <c r="A96" s="323" t="s">
        <v>100</v>
      </c>
      <c r="B96" s="856" t="s">
        <v>100</v>
      </c>
      <c r="C96" s="856"/>
      <c r="D96" s="857" t="s">
        <v>102</v>
      </c>
      <c r="E96" s="857" t="s">
        <v>103</v>
      </c>
      <c r="F96" s="825" t="s">
        <v>427</v>
      </c>
      <c r="G96" s="825" t="s">
        <v>105</v>
      </c>
      <c r="H96" s="858" t="s">
        <v>106</v>
      </c>
      <c r="I96" s="859" t="s">
        <v>428</v>
      </c>
      <c r="J96" s="860" t="s">
        <v>429</v>
      </c>
      <c r="K96" s="859" t="s">
        <v>430</v>
      </c>
      <c r="L96" s="861" t="s">
        <v>395</v>
      </c>
      <c r="M96" s="858"/>
      <c r="N96" s="858"/>
      <c r="O96" s="858" t="s">
        <v>111</v>
      </c>
      <c r="P96" s="825" t="s">
        <v>112</v>
      </c>
      <c r="Q96" s="276">
        <f t="shared" si="39"/>
        <v>0</v>
      </c>
      <c r="R96" s="277">
        <f t="shared" si="40"/>
        <v>0</v>
      </c>
      <c r="S96" s="287">
        <f t="shared" si="41"/>
        <v>0</v>
      </c>
      <c r="T96" s="287">
        <f t="shared" si="42"/>
        <v>0</v>
      </c>
      <c r="U96" s="287">
        <f t="shared" si="48"/>
        <v>0</v>
      </c>
      <c r="V96" s="288">
        <f t="shared" si="49"/>
        <v>0</v>
      </c>
      <c r="W96" s="289">
        <f t="shared" si="50"/>
        <v>0</v>
      </c>
      <c r="X96" s="265"/>
      <c r="Y96" s="266"/>
      <c r="Z96" s="267"/>
      <c r="AA96" s="268"/>
      <c r="AB96" s="266"/>
      <c r="AC96" s="882">
        <v>0</v>
      </c>
      <c r="AD96" s="269"/>
      <c r="AE96" s="270"/>
      <c r="AF96" s="883">
        <v>0</v>
      </c>
      <c r="AG96" s="269"/>
      <c r="AH96" s="270"/>
      <c r="AI96" s="271"/>
      <c r="AJ96" s="269"/>
      <c r="AK96" s="270"/>
      <c r="AL96" s="270"/>
      <c r="AM96" s="260"/>
      <c r="AN96" s="261"/>
      <c r="AO96" s="262"/>
      <c r="AP96" s="862"/>
      <c r="AQ96" s="863" t="s">
        <v>118</v>
      </c>
      <c r="AR96" s="864"/>
      <c r="AS96" s="846" t="s">
        <v>431</v>
      </c>
      <c r="AT96" s="823"/>
    </row>
    <row r="97" spans="1:46" s="173" customFormat="1" ht="246.5" x14ac:dyDescent="0.35">
      <c r="A97" s="611" t="s">
        <v>100</v>
      </c>
      <c r="B97" s="612" t="s">
        <v>432</v>
      </c>
      <c r="C97" s="612"/>
      <c r="D97" s="613" t="s">
        <v>433</v>
      </c>
      <c r="E97" s="613" t="s">
        <v>103</v>
      </c>
      <c r="F97" s="614" t="s">
        <v>324</v>
      </c>
      <c r="G97" s="615" t="s">
        <v>127</v>
      </c>
      <c r="H97" s="591" t="s">
        <v>106</v>
      </c>
      <c r="I97" s="908" t="s">
        <v>434</v>
      </c>
      <c r="J97" s="914" t="s">
        <v>435</v>
      </c>
      <c r="K97" s="914" t="s">
        <v>436</v>
      </c>
      <c r="L97" s="814"/>
      <c r="M97" s="591">
        <v>1</v>
      </c>
      <c r="N97" s="591"/>
      <c r="O97" s="591" t="s">
        <v>437</v>
      </c>
      <c r="P97" s="616" t="s">
        <v>190</v>
      </c>
      <c r="Q97" s="276">
        <f t="shared" si="39"/>
        <v>1130000</v>
      </c>
      <c r="R97" s="277">
        <f t="shared" si="40"/>
        <v>0</v>
      </c>
      <c r="S97" s="287">
        <f t="shared" si="41"/>
        <v>0</v>
      </c>
      <c r="T97" s="287">
        <f t="shared" si="42"/>
        <v>0</v>
      </c>
      <c r="U97" s="287">
        <f>SUM(AG97:AI97)</f>
        <v>270000</v>
      </c>
      <c r="V97" s="288">
        <f t="shared" si="49"/>
        <v>420000</v>
      </c>
      <c r="W97" s="289">
        <f t="shared" si="50"/>
        <v>440000</v>
      </c>
      <c r="X97" s="617"/>
      <c r="Y97" s="618"/>
      <c r="Z97" s="619"/>
      <c r="AA97" s="620"/>
      <c r="AB97" s="618"/>
      <c r="AC97" s="618"/>
      <c r="AD97" s="600"/>
      <c r="AE97" s="601"/>
      <c r="AF97" s="602"/>
      <c r="AG97" s="600"/>
      <c r="AH97" s="601">
        <v>250000</v>
      </c>
      <c r="AI97" s="602">
        <v>20000</v>
      </c>
      <c r="AJ97" s="600"/>
      <c r="AK97" s="601">
        <v>390000</v>
      </c>
      <c r="AL97" s="621">
        <v>30000</v>
      </c>
      <c r="AM97" s="600"/>
      <c r="AN97" s="601">
        <v>410000</v>
      </c>
      <c r="AO97" s="602">
        <v>30000</v>
      </c>
      <c r="AP97" s="578" t="s">
        <v>438</v>
      </c>
      <c r="AQ97" s="579" t="s">
        <v>114</v>
      </c>
      <c r="AR97" s="580" t="s">
        <v>439</v>
      </c>
      <c r="AS97" s="622" t="s">
        <v>237</v>
      </c>
      <c r="AT97" s="580" t="s">
        <v>201</v>
      </c>
    </row>
    <row r="98" spans="1:46" s="173" customFormat="1" ht="16" x14ac:dyDescent="0.35">
      <c r="A98" s="323" t="s">
        <v>100</v>
      </c>
      <c r="B98" s="865" t="s">
        <v>124</v>
      </c>
      <c r="C98" s="865"/>
      <c r="D98" s="866" t="s">
        <v>125</v>
      </c>
      <c r="E98" s="866" t="s">
        <v>263</v>
      </c>
      <c r="F98" s="867" t="s">
        <v>185</v>
      </c>
      <c r="G98" s="867" t="s">
        <v>280</v>
      </c>
      <c r="H98" s="867" t="s">
        <v>106</v>
      </c>
      <c r="I98" s="868" t="s">
        <v>440</v>
      </c>
      <c r="J98" s="869" t="s">
        <v>441</v>
      </c>
      <c r="K98" s="868" t="s">
        <v>442</v>
      </c>
      <c r="L98" s="870" t="s">
        <v>110</v>
      </c>
      <c r="M98" s="871">
        <v>1</v>
      </c>
      <c r="N98" s="871"/>
      <c r="O98" s="871" t="s">
        <v>111</v>
      </c>
      <c r="P98" s="867" t="s">
        <v>112</v>
      </c>
      <c r="Q98" s="276">
        <f t="shared" si="39"/>
        <v>30000</v>
      </c>
      <c r="R98" s="277">
        <f t="shared" si="40"/>
        <v>0</v>
      </c>
      <c r="S98" s="287">
        <f t="shared" si="41"/>
        <v>30000</v>
      </c>
      <c r="T98" s="287">
        <f t="shared" si="42"/>
        <v>0</v>
      </c>
      <c r="U98" s="287">
        <f t="shared" si="48"/>
        <v>0</v>
      </c>
      <c r="V98" s="288">
        <f t="shared" si="49"/>
        <v>0</v>
      </c>
      <c r="W98" s="289">
        <f t="shared" si="50"/>
        <v>0</v>
      </c>
      <c r="X98" s="593"/>
      <c r="Y98" s="594"/>
      <c r="Z98" s="595"/>
      <c r="AA98" s="596"/>
      <c r="AB98" s="594"/>
      <c r="AC98" s="266">
        <v>30000</v>
      </c>
      <c r="AD98" s="597"/>
      <c r="AE98" s="598"/>
      <c r="AF98" s="599"/>
      <c r="AG98" s="597"/>
      <c r="AH98" s="598"/>
      <c r="AI98" s="599"/>
      <c r="AJ98" s="597"/>
      <c r="AK98" s="598"/>
      <c r="AL98" s="598"/>
      <c r="AM98" s="600"/>
      <c r="AN98" s="601"/>
      <c r="AO98" s="602"/>
      <c r="AP98" s="872" t="s">
        <v>443</v>
      </c>
      <c r="AQ98" s="863" t="s">
        <v>118</v>
      </c>
      <c r="AR98" s="864"/>
      <c r="AS98" s="873" t="s">
        <v>191</v>
      </c>
      <c r="AT98" s="823"/>
    </row>
    <row r="99" spans="1:46" s="173" customFormat="1" ht="72.5" x14ac:dyDescent="0.35">
      <c r="A99" s="590" t="s">
        <v>100</v>
      </c>
      <c r="B99" s="612" t="s">
        <v>124</v>
      </c>
      <c r="C99" s="604"/>
      <c r="D99" s="613" t="s">
        <v>444</v>
      </c>
      <c r="E99" s="613" t="s">
        <v>184</v>
      </c>
      <c r="F99" s="614" t="s">
        <v>185</v>
      </c>
      <c r="G99" s="591" t="s">
        <v>127</v>
      </c>
      <c r="H99" s="592" t="s">
        <v>445</v>
      </c>
      <c r="I99" s="960" t="s">
        <v>446</v>
      </c>
      <c r="J99" s="942" t="s">
        <v>447</v>
      </c>
      <c r="K99" s="915" t="s">
        <v>448</v>
      </c>
      <c r="L99" s="815"/>
      <c r="M99" s="648">
        <v>1</v>
      </c>
      <c r="N99" s="384"/>
      <c r="O99" s="384"/>
      <c r="P99" s="591" t="s">
        <v>190</v>
      </c>
      <c r="Q99" s="623">
        <f t="shared" si="39"/>
        <v>100000</v>
      </c>
      <c r="R99" s="624">
        <f t="shared" si="40"/>
        <v>0</v>
      </c>
      <c r="S99" s="625">
        <f t="shared" si="41"/>
        <v>0</v>
      </c>
      <c r="T99" s="625">
        <f t="shared" si="42"/>
        <v>0</v>
      </c>
      <c r="U99" s="625">
        <f t="shared" si="48"/>
        <v>100000</v>
      </c>
      <c r="V99" s="626">
        <f t="shared" si="49"/>
        <v>0</v>
      </c>
      <c r="W99" s="627">
        <f t="shared" si="50"/>
        <v>0</v>
      </c>
      <c r="X99" s="593"/>
      <c r="Y99" s="594"/>
      <c r="Z99" s="595"/>
      <c r="AA99" s="596"/>
      <c r="AB99" s="594"/>
      <c r="AC99" s="594"/>
      <c r="AD99" s="597"/>
      <c r="AE99" s="598"/>
      <c r="AF99" s="599"/>
      <c r="AG99" s="597">
        <v>100000</v>
      </c>
      <c r="AH99" s="598"/>
      <c r="AI99" s="599"/>
      <c r="AJ99" s="597"/>
      <c r="AK99" s="598"/>
      <c r="AL99" s="598"/>
      <c r="AM99" s="600"/>
      <c r="AN99" s="601"/>
      <c r="AO99" s="602"/>
      <c r="AP99" s="658" t="s">
        <v>449</v>
      </c>
      <c r="AQ99" s="587"/>
      <c r="AR99" s="636"/>
      <c r="AS99" s="635" t="s">
        <v>450</v>
      </c>
      <c r="AT99" s="637"/>
    </row>
    <row r="100" spans="1:46" s="173" customFormat="1" ht="87" x14ac:dyDescent="0.35">
      <c r="A100" s="590" t="s">
        <v>100</v>
      </c>
      <c r="B100" s="612" t="s">
        <v>124</v>
      </c>
      <c r="C100" s="604"/>
      <c r="D100" s="613" t="s">
        <v>444</v>
      </c>
      <c r="E100" s="613" t="s">
        <v>184</v>
      </c>
      <c r="F100" s="614" t="s">
        <v>271</v>
      </c>
      <c r="G100" s="591" t="s">
        <v>280</v>
      </c>
      <c r="H100" s="592" t="s">
        <v>451</v>
      </c>
      <c r="I100" s="960" t="s">
        <v>452</v>
      </c>
      <c r="J100" s="942" t="s">
        <v>453</v>
      </c>
      <c r="K100" s="915" t="s">
        <v>454</v>
      </c>
      <c r="L100" s="815"/>
      <c r="M100" s="648">
        <v>1</v>
      </c>
      <c r="N100" s="384"/>
      <c r="O100" s="384"/>
      <c r="P100" s="591" t="s">
        <v>190</v>
      </c>
      <c r="Q100" s="623">
        <f t="shared" si="39"/>
        <v>200000</v>
      </c>
      <c r="R100" s="624">
        <f t="shared" si="40"/>
        <v>0</v>
      </c>
      <c r="S100" s="625">
        <f t="shared" si="41"/>
        <v>0</v>
      </c>
      <c r="T100" s="625">
        <f t="shared" si="42"/>
        <v>50000</v>
      </c>
      <c r="U100" s="625">
        <f t="shared" si="48"/>
        <v>50000</v>
      </c>
      <c r="V100" s="626">
        <f t="shared" si="49"/>
        <v>50000</v>
      </c>
      <c r="W100" s="627">
        <f t="shared" si="50"/>
        <v>50000</v>
      </c>
      <c r="X100" s="593"/>
      <c r="Y100" s="594"/>
      <c r="Z100" s="595"/>
      <c r="AA100" s="596"/>
      <c r="AB100" s="594"/>
      <c r="AC100" s="594"/>
      <c r="AD100" s="597"/>
      <c r="AE100" s="598"/>
      <c r="AF100" s="599">
        <v>50000</v>
      </c>
      <c r="AG100" s="597"/>
      <c r="AH100" s="598"/>
      <c r="AI100" s="599">
        <v>50000</v>
      </c>
      <c r="AJ100" s="597"/>
      <c r="AK100" s="598"/>
      <c r="AL100" s="598">
        <v>50000</v>
      </c>
      <c r="AM100" s="600"/>
      <c r="AN100" s="601"/>
      <c r="AO100" s="602">
        <v>50000</v>
      </c>
      <c r="AP100" s="603" t="s">
        <v>455</v>
      </c>
      <c r="AQ100" s="272"/>
      <c r="AR100" s="636"/>
      <c r="AS100" s="635" t="s">
        <v>191</v>
      </c>
      <c r="AT100" s="637"/>
    </row>
    <row r="101" spans="1:46" s="173" customFormat="1" ht="87" x14ac:dyDescent="0.35">
      <c r="A101" s="590" t="s">
        <v>100</v>
      </c>
      <c r="B101" s="612" t="s">
        <v>124</v>
      </c>
      <c r="C101" s="604"/>
      <c r="D101" s="613" t="s">
        <v>444</v>
      </c>
      <c r="E101" s="613" t="s">
        <v>184</v>
      </c>
      <c r="F101" s="614" t="s">
        <v>271</v>
      </c>
      <c r="G101" s="591" t="s">
        <v>280</v>
      </c>
      <c r="H101" s="592" t="s">
        <v>456</v>
      </c>
      <c r="I101" s="960" t="s">
        <v>457</v>
      </c>
      <c r="J101" s="942" t="s">
        <v>458</v>
      </c>
      <c r="K101" s="915" t="s">
        <v>459</v>
      </c>
      <c r="L101" s="815"/>
      <c r="M101" s="648">
        <v>1</v>
      </c>
      <c r="N101" s="384"/>
      <c r="O101" s="384"/>
      <c r="P101" s="591" t="s">
        <v>190</v>
      </c>
      <c r="Q101" s="623">
        <f t="shared" si="39"/>
        <v>235000</v>
      </c>
      <c r="R101" s="624">
        <f t="shared" si="40"/>
        <v>0</v>
      </c>
      <c r="S101" s="625">
        <f t="shared" si="41"/>
        <v>0</v>
      </c>
      <c r="T101" s="625">
        <f t="shared" si="42"/>
        <v>0</v>
      </c>
      <c r="U101" s="625">
        <f t="shared" si="48"/>
        <v>0</v>
      </c>
      <c r="V101" s="626">
        <f t="shared" si="49"/>
        <v>180000</v>
      </c>
      <c r="W101" s="627">
        <f t="shared" si="50"/>
        <v>55000</v>
      </c>
      <c r="X101" s="593"/>
      <c r="Y101" s="594"/>
      <c r="Z101" s="595"/>
      <c r="AA101" s="596"/>
      <c r="AB101" s="594"/>
      <c r="AC101" s="594"/>
      <c r="AD101" s="597"/>
      <c r="AE101" s="598"/>
      <c r="AF101" s="599"/>
      <c r="AG101" s="597"/>
      <c r="AH101" s="598"/>
      <c r="AI101" s="599"/>
      <c r="AJ101" s="597">
        <v>180000</v>
      </c>
      <c r="AK101" s="598"/>
      <c r="AL101" s="598"/>
      <c r="AM101" s="600">
        <v>55000</v>
      </c>
      <c r="AN101" s="601"/>
      <c r="AO101" s="602"/>
      <c r="AP101" s="603" t="s">
        <v>460</v>
      </c>
      <c r="AQ101" s="272"/>
      <c r="AR101" s="636"/>
      <c r="AS101" s="639" t="s">
        <v>191</v>
      </c>
      <c r="AT101" s="637"/>
    </row>
    <row r="102" spans="1:46" s="173" customFormat="1" ht="116" x14ac:dyDescent="0.35">
      <c r="A102" s="590" t="s">
        <v>100</v>
      </c>
      <c r="B102" s="612" t="s">
        <v>124</v>
      </c>
      <c r="C102" s="604"/>
      <c r="D102" s="613" t="s">
        <v>461</v>
      </c>
      <c r="E102" s="613" t="s">
        <v>184</v>
      </c>
      <c r="F102" s="614" t="s">
        <v>462</v>
      </c>
      <c r="G102" s="244" t="s">
        <v>280</v>
      </c>
      <c r="H102" s="592" t="s">
        <v>463</v>
      </c>
      <c r="I102" s="960" t="s">
        <v>464</v>
      </c>
      <c r="J102" s="942" t="s">
        <v>465</v>
      </c>
      <c r="K102" s="915" t="s">
        <v>466</v>
      </c>
      <c r="L102" s="815"/>
      <c r="M102" s="648">
        <v>1</v>
      </c>
      <c r="N102" s="384"/>
      <c r="O102" s="384"/>
      <c r="P102" s="591" t="s">
        <v>190</v>
      </c>
      <c r="Q102" s="623">
        <f t="shared" si="39"/>
        <v>150000</v>
      </c>
      <c r="R102" s="624">
        <f t="shared" si="40"/>
        <v>0</v>
      </c>
      <c r="S102" s="625"/>
      <c r="T102" s="625">
        <f t="shared" si="42"/>
        <v>0</v>
      </c>
      <c r="U102" s="625">
        <f t="shared" si="48"/>
        <v>50000</v>
      </c>
      <c r="V102" s="626">
        <f t="shared" si="49"/>
        <v>50000</v>
      </c>
      <c r="W102" s="627">
        <f t="shared" si="50"/>
        <v>50000</v>
      </c>
      <c r="X102" s="593"/>
      <c r="Y102" s="594"/>
      <c r="Z102" s="595"/>
      <c r="AA102" s="596"/>
      <c r="AB102" s="594"/>
      <c r="AC102" s="594"/>
      <c r="AD102" s="597"/>
      <c r="AE102" s="598"/>
      <c r="AF102" s="599"/>
      <c r="AG102" s="597"/>
      <c r="AH102" s="598">
        <v>50000</v>
      </c>
      <c r="AI102" s="599"/>
      <c r="AJ102" s="597"/>
      <c r="AK102" s="598">
        <v>50000</v>
      </c>
      <c r="AL102" s="598"/>
      <c r="AM102" s="600"/>
      <c r="AN102" s="601">
        <v>50000</v>
      </c>
      <c r="AO102" s="602"/>
      <c r="AP102" s="603" t="s">
        <v>467</v>
      </c>
      <c r="AQ102" s="272"/>
      <c r="AR102" s="636"/>
      <c r="AS102" s="635" t="s">
        <v>468</v>
      </c>
      <c r="AT102" s="637"/>
    </row>
    <row r="103" spans="1:46" s="173" customFormat="1" ht="87.5" thickBot="1" x14ac:dyDescent="0.4">
      <c r="A103" s="590" t="s">
        <v>100</v>
      </c>
      <c r="B103" s="612" t="s">
        <v>124</v>
      </c>
      <c r="C103" s="604"/>
      <c r="D103" s="613" t="s">
        <v>444</v>
      </c>
      <c r="E103" s="613" t="s">
        <v>263</v>
      </c>
      <c r="F103" s="614" t="s">
        <v>279</v>
      </c>
      <c r="G103" s="255" t="s">
        <v>280</v>
      </c>
      <c r="H103" s="592" t="s">
        <v>456</v>
      </c>
      <c r="I103" s="960" t="s">
        <v>469</v>
      </c>
      <c r="J103" s="942" t="s">
        <v>470</v>
      </c>
      <c r="K103" s="915" t="s">
        <v>471</v>
      </c>
      <c r="L103" s="815"/>
      <c r="M103" s="648">
        <v>1</v>
      </c>
      <c r="N103" s="384"/>
      <c r="O103" s="384"/>
      <c r="P103" s="591" t="s">
        <v>190</v>
      </c>
      <c r="Q103" s="623">
        <f t="shared" si="1"/>
        <v>30000</v>
      </c>
      <c r="R103" s="624">
        <f t="shared" si="11"/>
        <v>0</v>
      </c>
      <c r="S103" s="625">
        <f t="shared" si="12"/>
        <v>0</v>
      </c>
      <c r="T103" s="625">
        <f t="shared" si="13"/>
        <v>0</v>
      </c>
      <c r="U103" s="625">
        <f t="shared" si="14"/>
        <v>30000</v>
      </c>
      <c r="V103" s="288">
        <f t="shared" si="15"/>
        <v>0</v>
      </c>
      <c r="W103" s="289">
        <f t="shared" si="10"/>
        <v>0</v>
      </c>
      <c r="X103" s="265"/>
      <c r="Y103" s="266"/>
      <c r="Z103" s="267"/>
      <c r="AA103" s="268"/>
      <c r="AB103" s="266"/>
      <c r="AC103" s="266"/>
      <c r="AD103" s="269"/>
      <c r="AE103" s="270"/>
      <c r="AF103" s="271"/>
      <c r="AG103" s="597">
        <v>30000</v>
      </c>
      <c r="AH103" s="270"/>
      <c r="AI103" s="271"/>
      <c r="AJ103" s="269"/>
      <c r="AK103" s="270"/>
      <c r="AL103" s="270"/>
      <c r="AM103" s="260"/>
      <c r="AN103" s="261"/>
      <c r="AO103" s="262"/>
      <c r="AP103" s="386" t="s">
        <v>472</v>
      </c>
      <c r="AQ103" s="272"/>
      <c r="AR103" s="636"/>
      <c r="AS103" s="635" t="s">
        <v>468</v>
      </c>
      <c r="AT103" s="637"/>
    </row>
    <row r="104" spans="1:46" s="173" customFormat="1" ht="15.65" customHeight="1" thickBot="1" x14ac:dyDescent="0.4">
      <c r="A104" s="37"/>
      <c r="B104" s="605"/>
      <c r="C104" s="606"/>
      <c r="D104" s="606"/>
      <c r="E104" s="606"/>
      <c r="F104" s="38"/>
      <c r="G104" s="38"/>
      <c r="H104" s="38"/>
      <c r="I104" s="38"/>
      <c r="J104" s="29"/>
      <c r="K104" s="38"/>
      <c r="L104" s="38"/>
      <c r="M104" s="38"/>
      <c r="N104" s="38"/>
      <c r="O104" s="38"/>
      <c r="P104" s="38"/>
      <c r="Q104" s="239">
        <f>SUM(R104:W104)</f>
        <v>18919067</v>
      </c>
      <c r="R104" s="222">
        <f t="shared" si="11"/>
        <v>23250</v>
      </c>
      <c r="S104" s="223">
        <f t="shared" si="12"/>
        <v>1807000</v>
      </c>
      <c r="T104" s="223">
        <f t="shared" si="13"/>
        <v>17088817</v>
      </c>
      <c r="U104" s="223">
        <f t="shared" si="14"/>
        <v>0</v>
      </c>
      <c r="V104" s="224">
        <f t="shared" si="15"/>
        <v>0</v>
      </c>
      <c r="W104" s="224">
        <f t="shared" si="10"/>
        <v>0</v>
      </c>
      <c r="X104" s="317">
        <f t="shared" ref="X104:AF104" si="51">SUM(X35:X103)</f>
        <v>0</v>
      </c>
      <c r="Y104" s="318">
        <f t="shared" si="51"/>
        <v>16074</v>
      </c>
      <c r="Z104" s="319">
        <f t="shared" si="51"/>
        <v>7176</v>
      </c>
      <c r="AA104" s="317">
        <f t="shared" si="51"/>
        <v>838000</v>
      </c>
      <c r="AB104" s="318">
        <f t="shared" si="51"/>
        <v>502000</v>
      </c>
      <c r="AC104" s="319">
        <f t="shared" si="51"/>
        <v>467000</v>
      </c>
      <c r="AD104" s="317">
        <f t="shared" si="51"/>
        <v>1425000</v>
      </c>
      <c r="AE104" s="318">
        <f t="shared" si="51"/>
        <v>8346335.8500000006</v>
      </c>
      <c r="AF104" s="319">
        <f t="shared" si="51"/>
        <v>7317481.1499999994</v>
      </c>
      <c r="AG104" s="225"/>
      <c r="AH104" s="31"/>
      <c r="AI104" s="32"/>
      <c r="AJ104" s="33"/>
      <c r="AK104" s="31"/>
      <c r="AL104" s="31"/>
      <c r="AM104" s="339"/>
      <c r="AN104" s="340"/>
      <c r="AO104" s="32"/>
      <c r="AP104" s="226"/>
      <c r="AQ104" s="227"/>
      <c r="AR104" s="227"/>
      <c r="AS104" s="638"/>
      <c r="AT104" s="227"/>
    </row>
    <row r="105" spans="1:46" ht="15" thickBot="1" x14ac:dyDescent="0.4">
      <c r="J105" s="1"/>
      <c r="X105" s="320">
        <f t="shared" ref="X105:AF105" si="52">SUM(X107+X110+X113+X116+X122+X125+X128+X131+X137+X140+X143+X146)</f>
        <v>0</v>
      </c>
      <c r="Y105" s="321">
        <f t="shared" si="52"/>
        <v>16074</v>
      </c>
      <c r="Z105" s="322">
        <f t="shared" si="52"/>
        <v>7176</v>
      </c>
      <c r="AA105" s="320">
        <f t="shared" si="52"/>
        <v>838000</v>
      </c>
      <c r="AB105" s="321">
        <f t="shared" si="52"/>
        <v>502000</v>
      </c>
      <c r="AC105" s="322">
        <f t="shared" si="52"/>
        <v>467000</v>
      </c>
      <c r="AD105" s="320">
        <f t="shared" si="52"/>
        <v>1425000</v>
      </c>
      <c r="AE105" s="321">
        <f t="shared" si="52"/>
        <v>8346335.8500000006</v>
      </c>
      <c r="AF105" s="322">
        <f t="shared" si="52"/>
        <v>7317481.1499999994</v>
      </c>
    </row>
    <row r="106" spans="1:46" ht="15" thickBot="1" x14ac:dyDescent="0.4">
      <c r="F106" s="230"/>
      <c r="J106" s="1"/>
      <c r="U106" s="230" t="s">
        <v>112</v>
      </c>
    </row>
    <row r="107" spans="1:46" x14ac:dyDescent="0.35">
      <c r="E107" s="1" t="s">
        <v>103</v>
      </c>
      <c r="F107" s="220" t="s">
        <v>324</v>
      </c>
      <c r="G107" s="1" t="s">
        <v>127</v>
      </c>
      <c r="J107" s="1"/>
      <c r="P107" s="220" t="s">
        <v>473</v>
      </c>
      <c r="Q107" s="220"/>
      <c r="U107" s="1" t="s">
        <v>7</v>
      </c>
      <c r="X107" s="231">
        <f>SUMIFS($X$35:$X$103,$G$35:$G$103,$G$107,$P$35:$P$103,"SF 21-27 (taotletav raha)")</f>
        <v>0</v>
      </c>
      <c r="Y107" s="232">
        <f>SUMIFS($Y$35:$Y$103,$G$35:$G$103,$G$107,$P$35:$P$103,"SF 21-27 (taotletav raha)")</f>
        <v>0</v>
      </c>
      <c r="Z107" s="233">
        <f>SUMIFS($Z$35:$Z$103,$G$35:$G$103,$G$107,$P$35:$P$103,"SF 21-27 (taotletav raha)")</f>
        <v>0</v>
      </c>
      <c r="AA107" s="231">
        <f>SUMIFS($AA$35:$AA$103,$G$35:$G$103,$G$107,$P$35:$P$103,"SF 21-27 (taotletav raha)")</f>
        <v>688000</v>
      </c>
      <c r="AB107" s="234">
        <f>SUMIFS($AB$35:$AB$103,$G$35:$G$103,$G$107,$P$35:$P$103,"SF 21-27 (taotletav raha)")</f>
        <v>111000</v>
      </c>
      <c r="AC107" s="235">
        <f>SUMIFS($AC$35:$AC$103,$G$35:$G$103,$G$107,$P$35:$P$103,"SF 21-27 (taotletav raha)")</f>
        <v>250000</v>
      </c>
      <c r="AD107" s="236">
        <f>SUMIFS($AD$35:$AD$103,$G$35:$G$103,$G$107,$P$35:$P$103,"SF 21-27 (taotletav raha)")</f>
        <v>1425000</v>
      </c>
      <c r="AE107" s="234">
        <f>SUMIFS($AE$35:$AE$103,$G$35:$G$103,$G$107,$P$35:$P$103,"SF 21-27 (taotletav raha)")</f>
        <v>111000</v>
      </c>
      <c r="AF107" s="235">
        <f>SUMIFS($AF$35:$AF$103,$G$35:$G$103,$G$107,$P$35:$P$103,"SF 21-27 (taotletav raha)")</f>
        <v>50000</v>
      </c>
      <c r="AQ107" s="1" t="s">
        <v>215</v>
      </c>
    </row>
    <row r="108" spans="1:46" ht="15" thickBot="1" x14ac:dyDescent="0.4">
      <c r="E108" s="1" t="s">
        <v>184</v>
      </c>
      <c r="F108" s="220" t="s">
        <v>332</v>
      </c>
      <c r="G108" s="1" t="s">
        <v>280</v>
      </c>
      <c r="J108" s="1"/>
      <c r="P108" s="220" t="s">
        <v>286</v>
      </c>
      <c r="Q108" s="220"/>
      <c r="U108" s="237" t="s">
        <v>474</v>
      </c>
      <c r="V108" s="237"/>
      <c r="W108" s="237"/>
      <c r="X108" s="229">
        <f>X107*1.2</f>
        <v>0</v>
      </c>
      <c r="Y108" s="119">
        <f>Y107</f>
        <v>0</v>
      </c>
      <c r="Z108" s="120">
        <f>Z107*1.2</f>
        <v>0</v>
      </c>
      <c r="AA108" s="229">
        <f>AA107*1.22</f>
        <v>839360</v>
      </c>
      <c r="AB108" s="119">
        <f t="shared" ref="AB108" si="53">AB107</f>
        <v>111000</v>
      </c>
      <c r="AC108" s="120">
        <f t="shared" ref="AC108" si="54">AC107*1.22</f>
        <v>305000</v>
      </c>
      <c r="AD108" s="229">
        <f>AD107*1.22</f>
        <v>1738500</v>
      </c>
      <c r="AE108" s="119">
        <f t="shared" ref="AE108" si="55">AE107</f>
        <v>111000</v>
      </c>
      <c r="AF108" s="120">
        <f t="shared" ref="AF108" si="56">AF107*1.22</f>
        <v>61000</v>
      </c>
      <c r="AQ108" s="1" t="s">
        <v>114</v>
      </c>
    </row>
    <row r="109" spans="1:46" ht="15" thickBot="1" x14ac:dyDescent="0.4">
      <c r="E109" s="1" t="s">
        <v>263</v>
      </c>
      <c r="F109" s="220" t="s">
        <v>383</v>
      </c>
      <c r="G109" s="1" t="s">
        <v>105</v>
      </c>
      <c r="J109" s="1"/>
      <c r="P109" s="220" t="s">
        <v>190</v>
      </c>
      <c r="Q109" s="220"/>
      <c r="X109" s="238"/>
      <c r="Y109" s="238"/>
      <c r="Z109" s="238"/>
      <c r="AQ109" s="1" t="s">
        <v>475</v>
      </c>
    </row>
    <row r="110" spans="1:46" x14ac:dyDescent="0.35">
      <c r="F110" s="220" t="s">
        <v>427</v>
      </c>
      <c r="G110" s="1" t="s">
        <v>168</v>
      </c>
      <c r="J110" s="1"/>
      <c r="P110" s="220" t="s">
        <v>476</v>
      </c>
      <c r="Q110" s="220"/>
      <c r="U110" s="1" t="s">
        <v>8</v>
      </c>
      <c r="X110" s="231">
        <f>SUMIFS(X35:X103,G35:G103,$G$108,P35:P103,"SF 21-27 (taotletav raha)")</f>
        <v>0</v>
      </c>
      <c r="Y110" s="232">
        <f>SUMIFS(Y35:Y103,G35:G103,$G$108,P35:P103,"SF 21-27 (taotletav raha)")</f>
        <v>0</v>
      </c>
      <c r="Z110" s="233">
        <f>SUMIFS(Z35:Z103,G35:G103,$G$108,P35:P103,"SF 21-27 (taotletav raha)")</f>
        <v>0</v>
      </c>
      <c r="AA110" s="236">
        <f>SUMIFS(AA35:AA103,G35:G103,$G$108,P35:P103,"SF 21-27 (taotletav raha)")</f>
        <v>0</v>
      </c>
      <c r="AB110" s="234">
        <f>SUMIFS(AB35:AB103,G35:G103,$G$108,P35:P103,"SF 21-27 (taotletav raha)")</f>
        <v>0</v>
      </c>
      <c r="AC110" s="235">
        <f>SUMIFS(AC35:AC103,G35:G103,$G$108,P35:P103,"SF 21-27 (taotletav raha)")</f>
        <v>30000</v>
      </c>
      <c r="AD110" s="236">
        <f>SUMIFS(AD35:AD103,G35:G103,$G$108,P35:P103,"SF 21-27 (taotletav raha)")</f>
        <v>0</v>
      </c>
      <c r="AE110" s="234">
        <f>SUMIFS(AE35:AE103,G35:G103,$G$108,P35:P103,"SF 21-27 (taotletav raha)")</f>
        <v>0</v>
      </c>
      <c r="AF110" s="235">
        <f>SUMIFS(AF35:AF103,G35:G103,$G$108,P35:P103,"SF 21-27 (taotletav raha)")</f>
        <v>0</v>
      </c>
      <c r="AQ110" s="1" t="s">
        <v>134</v>
      </c>
    </row>
    <row r="111" spans="1:46" ht="15" thickBot="1" x14ac:dyDescent="0.4">
      <c r="F111" s="220" t="s">
        <v>104</v>
      </c>
      <c r="J111" s="1"/>
      <c r="P111" s="220" t="s">
        <v>18</v>
      </c>
      <c r="Q111" s="220"/>
      <c r="U111" s="237" t="s">
        <v>474</v>
      </c>
      <c r="X111" s="229">
        <f>X110*1.2</f>
        <v>0</v>
      </c>
      <c r="Y111" s="119">
        <f>Y110</f>
        <v>0</v>
      </c>
      <c r="Z111" s="120">
        <f>Z110*1.2</f>
        <v>0</v>
      </c>
      <c r="AA111" s="229">
        <f>AA110*1.22</f>
        <v>0</v>
      </c>
      <c r="AB111" s="119">
        <f t="shared" ref="AB111" si="57">AB110</f>
        <v>0</v>
      </c>
      <c r="AC111" s="120">
        <f t="shared" ref="AC111" si="58">AC110*1.22</f>
        <v>36600</v>
      </c>
      <c r="AD111" s="229">
        <f>AD110*1.22</f>
        <v>0</v>
      </c>
      <c r="AE111" s="119">
        <f t="shared" ref="AE111" si="59">AE110</f>
        <v>0</v>
      </c>
      <c r="AF111" s="120">
        <f t="shared" ref="AF111" si="60">AF110*1.22</f>
        <v>0</v>
      </c>
      <c r="AQ111" s="1" t="s">
        <v>118</v>
      </c>
    </row>
    <row r="112" spans="1:46" ht="15" thickBot="1" x14ac:dyDescent="0.4">
      <c r="F112" s="220" t="s">
        <v>310</v>
      </c>
      <c r="J112" s="1"/>
      <c r="P112" s="220" t="s">
        <v>477</v>
      </c>
      <c r="Q112" s="220"/>
      <c r="X112" s="238"/>
      <c r="Y112" s="238"/>
      <c r="Z112" s="238"/>
    </row>
    <row r="113" spans="6:32" x14ac:dyDescent="0.35">
      <c r="F113" s="220" t="s">
        <v>185</v>
      </c>
      <c r="J113" s="1"/>
      <c r="K113" s="238"/>
      <c r="L113" s="238"/>
      <c r="M113" s="238"/>
      <c r="P113" s="220" t="s">
        <v>112</v>
      </c>
      <c r="U113" s="1" t="s">
        <v>478</v>
      </c>
      <c r="X113" s="231">
        <f>SUMIFS(X35:X103,G35:G103,$G$109,P35:P103,"SF 21-27 (taotletav raha)")</f>
        <v>0</v>
      </c>
      <c r="Y113" s="232">
        <f>SUMIFS(Y35:Y103,G35:G103,$G$109,P35:P103,"SF 21-27 (taotletav raha)")</f>
        <v>16074</v>
      </c>
      <c r="Z113" s="233">
        <f>SUMIFS(Z35:Z103,G35:G103,$G$109,P35:P103,"SF 21-27 (taotletav raha)")</f>
        <v>7176</v>
      </c>
      <c r="AA113" s="236">
        <f>SUMIFS(AA35:AA103,G35:G103,$G$109,P35:P103,"SF 21-27 (taotletav raha)")</f>
        <v>0</v>
      </c>
      <c r="AB113" s="234">
        <f>SUMIFS(AB35:AB103,G35:G103,$G$109,P35:P103,"SF 21-27 (taotletav raha)")</f>
        <v>391000</v>
      </c>
      <c r="AC113" s="235">
        <f>SUMIFS(AC35:AC103,G35:G103,$G$109,P35:P103,"SF 21-27 (taotletav raha)")</f>
        <v>137000</v>
      </c>
      <c r="AD113" s="236">
        <f>SUMIFS(AD35:AD103,G35:G103,$G$109,P35:P103,"SF 21-27 (taotletav raha)")</f>
        <v>0</v>
      </c>
      <c r="AE113" s="234">
        <f>SUMIFS(AE35:AE103,G35:G103,$G$109,P35:P103,"SF 21-27 (taotletav raha)")</f>
        <v>514550</v>
      </c>
      <c r="AF113" s="235">
        <f>SUMIFS(AF35:AF103,G35:G103,$G$109,P35:P103,"SF 21-27 (taotletav raha)")</f>
        <v>60000</v>
      </c>
    </row>
    <row r="114" spans="6:32" ht="15" thickBot="1" x14ac:dyDescent="0.4">
      <c r="F114" s="220" t="s">
        <v>194</v>
      </c>
      <c r="J114" s="1"/>
      <c r="K114" s="238"/>
      <c r="L114" s="238"/>
      <c r="U114" s="237" t="s">
        <v>474</v>
      </c>
      <c r="X114" s="229">
        <f>X113*1.2</f>
        <v>0</v>
      </c>
      <c r="Y114" s="119">
        <f>Y113</f>
        <v>16074</v>
      </c>
      <c r="Z114" s="120">
        <f>Z113*1.2</f>
        <v>8611.1999999999989</v>
      </c>
      <c r="AA114" s="229">
        <f>AA113*1.22</f>
        <v>0</v>
      </c>
      <c r="AB114" s="119">
        <f t="shared" ref="AB114" si="61">AB113</f>
        <v>391000</v>
      </c>
      <c r="AC114" s="120">
        <f t="shared" ref="AC114" si="62">AC113*1.22</f>
        <v>167140</v>
      </c>
      <c r="AD114" s="229">
        <f>AD113*1.22</f>
        <v>0</v>
      </c>
      <c r="AE114" s="119">
        <f t="shared" ref="AE114" si="63">AE113</f>
        <v>514550</v>
      </c>
      <c r="AF114" s="120">
        <f t="shared" ref="AF114" si="64">AF113*1.22</f>
        <v>73200</v>
      </c>
    </row>
    <row r="115" spans="6:32" ht="15" thickBot="1" x14ac:dyDescent="0.4">
      <c r="F115" s="220" t="s">
        <v>126</v>
      </c>
      <c r="J115" s="1"/>
      <c r="K115" s="238"/>
      <c r="L115" s="238"/>
      <c r="X115" s="238"/>
      <c r="Y115" s="238"/>
      <c r="Z115" s="238"/>
    </row>
    <row r="116" spans="6:32" x14ac:dyDescent="0.35">
      <c r="F116" s="220" t="s">
        <v>479</v>
      </c>
      <c r="J116" s="1"/>
      <c r="K116" s="238"/>
      <c r="L116" s="238"/>
      <c r="U116" s="1" t="s">
        <v>10</v>
      </c>
      <c r="X116" s="231">
        <f>SUMIFS(X35:X103,G35:G103,$G$110,P35:P103,"SF 21-27 (taotletav raha)")</f>
        <v>0</v>
      </c>
      <c r="Y116" s="232">
        <f>SUMIFS(Y35:Y103,G35:G103,$G$110,P35:P103,"SF 21-27 (taotletav raha)")</f>
        <v>0</v>
      </c>
      <c r="Z116" s="233">
        <f>SUMIFS(Z35:Z103,G35:G103,$G$110,P35:P103,"SF 21-27 (taotletav raha)")</f>
        <v>0</v>
      </c>
      <c r="AA116" s="236">
        <f>SUMIFS(AA35:AA103,G35:G103,$G$110,P35:P103,"SF 21-27 (taotletav raha)")</f>
        <v>150000</v>
      </c>
      <c r="AB116" s="234">
        <f>SUMIFS(AB35:AB103,G35:G103,$G$110,P35:P103,"SF 21-27 (taotletav raha)")</f>
        <v>0</v>
      </c>
      <c r="AC116" s="235">
        <f>SUMIFS(AC35:AC103,G35:G103,$G$110,P35:P103,"SF 21-27 (taotletav raha)")</f>
        <v>50000</v>
      </c>
      <c r="AD116" s="236">
        <f>SUMIFS(AD35:AD103,G35:G103,$G$110,P35:P103,"SF 21-27 (taotletav raha)")</f>
        <v>0</v>
      </c>
      <c r="AE116" s="234">
        <f>SUMIFS(AE35:AE103,G35:G103,$G$110,P35:P103,"SF 21-27 (taotletav raha)")</f>
        <v>0</v>
      </c>
      <c r="AF116" s="235">
        <f>SUMIFS(AF35:AF103,G35:G103,$G$110,P35:P103,"SF 21-27 (taotletav raha)")</f>
        <v>0</v>
      </c>
    </row>
    <row r="117" spans="6:32" ht="15" thickBot="1" x14ac:dyDescent="0.4">
      <c r="F117" s="220" t="s">
        <v>119</v>
      </c>
      <c r="J117" s="1"/>
      <c r="U117" s="237" t="s">
        <v>474</v>
      </c>
      <c r="X117" s="229">
        <f>X116*1.2</f>
        <v>0</v>
      </c>
      <c r="Y117" s="119">
        <f>Y116</f>
        <v>0</v>
      </c>
      <c r="Z117" s="120">
        <f>Z116*1.2</f>
        <v>0</v>
      </c>
      <c r="AA117" s="229">
        <f>AA116*1.22</f>
        <v>183000</v>
      </c>
      <c r="AB117" s="119">
        <f t="shared" ref="AB117" si="65">AB116</f>
        <v>0</v>
      </c>
      <c r="AC117" s="120">
        <f t="shared" ref="AC117" si="66">AC116*1.22</f>
        <v>61000</v>
      </c>
      <c r="AD117" s="229">
        <f>AD116*1.22</f>
        <v>0</v>
      </c>
      <c r="AE117" s="119">
        <f t="shared" ref="AE117" si="67">AE116</f>
        <v>0</v>
      </c>
      <c r="AF117" s="120">
        <f t="shared" ref="AF117" si="68">AF116*1.22</f>
        <v>0</v>
      </c>
    </row>
    <row r="118" spans="6:32" x14ac:dyDescent="0.35">
      <c r="F118" s="220" t="s">
        <v>480</v>
      </c>
      <c r="J118" s="1"/>
      <c r="K118" s="238"/>
      <c r="L118" s="238"/>
      <c r="Q118" s="238"/>
      <c r="R118" s="238"/>
      <c r="S118" s="238"/>
      <c r="T118" s="238"/>
      <c r="U118" s="238"/>
      <c r="V118" s="238"/>
      <c r="W118" s="238"/>
    </row>
    <row r="119" spans="6:32" x14ac:dyDescent="0.35">
      <c r="F119" s="220" t="s">
        <v>481</v>
      </c>
      <c r="J119" s="1"/>
      <c r="K119" s="238"/>
      <c r="L119" s="238"/>
    </row>
    <row r="120" spans="6:32" x14ac:dyDescent="0.35">
      <c r="F120" s="220" t="s">
        <v>462</v>
      </c>
      <c r="J120" s="1"/>
      <c r="K120" s="238"/>
      <c r="L120" s="238"/>
    </row>
    <row r="121" spans="6:32" ht="15" thickBot="1" x14ac:dyDescent="0.4">
      <c r="F121" s="220" t="s">
        <v>482</v>
      </c>
      <c r="J121" s="1"/>
      <c r="K121" s="238"/>
      <c r="L121" s="238"/>
      <c r="U121" s="230" t="s">
        <v>483</v>
      </c>
    </row>
    <row r="122" spans="6:32" x14ac:dyDescent="0.35">
      <c r="F122" s="220" t="s">
        <v>484</v>
      </c>
      <c r="J122" s="1"/>
      <c r="K122" s="238"/>
      <c r="L122" s="238"/>
      <c r="U122" s="1" t="s">
        <v>7</v>
      </c>
      <c r="X122" s="231">
        <f t="shared" ref="X122:AF122" si="69">SUMIFS(X$35:X$103, $G$35:$G$103, $G$107, $P$35:$P$103, "Baaseelarve")+SUMIFS(X$35:X$103, $G$35:$G$103, $G$107, $P$35:$P$103, "Muu rahastus")+SUMIFS(X$35:X$103, $G$35:$G$103, $G$107, $P$35:$P$103, "Reserv (SR)")+SUMIFS(X$35:X$103, $G$35:$G$103, $G$107, $P$35:$P$103, "RRF")+SUMIFS(X$35:X$103, $G$35:$G$103, $G$107, $P$35:$P$103, "SF 14-20 (töös olev projekt)")</f>
        <v>0</v>
      </c>
      <c r="Y122" s="231">
        <f t="shared" si="69"/>
        <v>0</v>
      </c>
      <c r="Z122" s="231">
        <f t="shared" si="69"/>
        <v>0</v>
      </c>
      <c r="AA122" s="231">
        <f t="shared" si="69"/>
        <v>0</v>
      </c>
      <c r="AB122" s="231">
        <f t="shared" si="69"/>
        <v>0</v>
      </c>
      <c r="AC122" s="231">
        <f t="shared" si="69"/>
        <v>0</v>
      </c>
      <c r="AD122" s="231">
        <f t="shared" si="69"/>
        <v>0</v>
      </c>
      <c r="AE122" s="231">
        <f t="shared" si="69"/>
        <v>0</v>
      </c>
      <c r="AF122" s="231">
        <f t="shared" si="69"/>
        <v>0</v>
      </c>
    </row>
    <row r="123" spans="6:32" ht="15" thickBot="1" x14ac:dyDescent="0.4">
      <c r="F123" s="220" t="s">
        <v>279</v>
      </c>
      <c r="J123" s="1"/>
      <c r="K123" s="238"/>
      <c r="L123" s="238"/>
      <c r="U123" s="237" t="s">
        <v>474</v>
      </c>
      <c r="X123" s="229">
        <f>X122*1.2</f>
        <v>0</v>
      </c>
      <c r="Y123" s="119">
        <f>Y122</f>
        <v>0</v>
      </c>
      <c r="Z123" s="120">
        <f>Z122*1.2</f>
        <v>0</v>
      </c>
      <c r="AA123" s="229">
        <f>AA122*1.22</f>
        <v>0</v>
      </c>
      <c r="AB123" s="119">
        <f t="shared" ref="AB123" si="70">AB122</f>
        <v>0</v>
      </c>
      <c r="AC123" s="120">
        <f t="shared" ref="AC123" si="71">AC122*1.22</f>
        <v>0</v>
      </c>
      <c r="AD123" s="229">
        <f>AD122*1.22</f>
        <v>0</v>
      </c>
      <c r="AE123" s="119">
        <f t="shared" ref="AE123" si="72">AE122</f>
        <v>0</v>
      </c>
      <c r="AF123" s="120">
        <f t="shared" ref="AF123" si="73">AF122*1.22</f>
        <v>0</v>
      </c>
    </row>
    <row r="124" spans="6:32" ht="15" thickBot="1" x14ac:dyDescent="0.4">
      <c r="F124" s="220" t="s">
        <v>485</v>
      </c>
      <c r="J124" s="1"/>
      <c r="K124" s="238"/>
      <c r="L124" s="238"/>
      <c r="X124" s="238"/>
      <c r="Y124" s="238"/>
      <c r="Z124" s="238"/>
      <c r="AA124" s="238"/>
      <c r="AB124" s="238"/>
      <c r="AC124" s="238"/>
      <c r="AD124" s="238"/>
      <c r="AE124" s="238"/>
      <c r="AF124" s="238"/>
    </row>
    <row r="125" spans="6:32" x14ac:dyDescent="0.35">
      <c r="F125" s="220" t="s">
        <v>271</v>
      </c>
      <c r="J125" s="1"/>
      <c r="U125" s="1" t="s">
        <v>8</v>
      </c>
      <c r="X125" s="231">
        <f t="shared" ref="X125:AF125" si="74">SUMIFS(X$35:X$103, $G$35:$G$103, $G$108, $P$35:$P$103, "Baaseelarve")+SUMIFS(X$35:X$103, $G$35:$G$103, $G$108, $P$35:$P$103, "Muu rahastus")+SUMIFS(X$35:X$103, $G$35:$G$103, $G$108, $P$35:$P$103, "Reserv (SR)")+SUMIFS(X$35:X$103, $G$35:$G$103, $G$108, $P$35:$P$103, "RRF")+SUMIFS(X$35:X$103, $G$35:$G$103, $G$108, $P$35:$P$103, "SF 14-20 (töös olev projekt)")</f>
        <v>0</v>
      </c>
      <c r="Y125" s="231">
        <f t="shared" si="74"/>
        <v>0</v>
      </c>
      <c r="Z125" s="231">
        <f t="shared" si="74"/>
        <v>0</v>
      </c>
      <c r="AA125" s="231">
        <f t="shared" si="74"/>
        <v>0</v>
      </c>
      <c r="AB125" s="231">
        <f t="shared" si="74"/>
        <v>0</v>
      </c>
      <c r="AC125" s="231">
        <f t="shared" si="74"/>
        <v>0</v>
      </c>
      <c r="AD125" s="231">
        <f t="shared" si="74"/>
        <v>0</v>
      </c>
      <c r="AE125" s="231">
        <f t="shared" si="74"/>
        <v>171000</v>
      </c>
      <c r="AF125" s="231">
        <f t="shared" si="74"/>
        <v>512625</v>
      </c>
    </row>
    <row r="126" spans="6:32" ht="15" thickBot="1" x14ac:dyDescent="0.4">
      <c r="I126" s="3"/>
      <c r="J126" s="1"/>
      <c r="U126" s="237" t="s">
        <v>474</v>
      </c>
      <c r="X126" s="229">
        <f>X125*1.2</f>
        <v>0</v>
      </c>
      <c r="Y126" s="119">
        <f>Y125</f>
        <v>0</v>
      </c>
      <c r="Z126" s="120">
        <f>Z125*1.2</f>
        <v>0</v>
      </c>
      <c r="AA126" s="229">
        <f>AA125*1.22</f>
        <v>0</v>
      </c>
      <c r="AB126" s="119">
        <f t="shared" ref="AB126" si="75">AB125</f>
        <v>0</v>
      </c>
      <c r="AC126" s="120">
        <f t="shared" ref="AC126" si="76">AC125*1.22</f>
        <v>0</v>
      </c>
      <c r="AD126" s="229">
        <f>AD125*1.22</f>
        <v>0</v>
      </c>
      <c r="AE126" s="119">
        <f t="shared" ref="AE126" si="77">AE125</f>
        <v>171000</v>
      </c>
      <c r="AF126" s="120">
        <f t="shared" ref="AF126" si="78">AF125*1.22</f>
        <v>625402.5</v>
      </c>
    </row>
    <row r="127" spans="6:32" ht="15" thickBot="1" x14ac:dyDescent="0.4">
      <c r="H127" s="3"/>
      <c r="J127" s="1"/>
      <c r="X127" s="238"/>
      <c r="Y127" s="238"/>
      <c r="Z127" s="238"/>
      <c r="AA127" s="238"/>
      <c r="AB127" s="238"/>
      <c r="AC127" s="238"/>
      <c r="AD127" s="238"/>
      <c r="AE127" s="238"/>
      <c r="AF127" s="238"/>
    </row>
    <row r="128" spans="6:32" x14ac:dyDescent="0.35">
      <c r="U128" s="1" t="s">
        <v>478</v>
      </c>
      <c r="X128" s="231">
        <f t="shared" ref="X128:AF128" si="79">SUMIFS(X$35:X$103, $G$35:$G$103, $G$109, $P$35:$P$103, "Baaseelarve")+SUMIFS(X$35:X$103, $G$35:$G$103, $G$109, $P$35:$P$103, "Muu rahastus")+SUMIFS(X$35:X$103, $G$35:$G$103, $G$109, $P$35:$P$103, "Reserv (SR)")+SUMIFS(X$35:X$103, $G$35:$G$103, $G$109, $P$35:$P$103, "RRF")+SUMIFS(X$35:X$103, $G$35:$G$103, $G$109, $P$35:$P$103, "SF 14-20 (töös olev projekt)")</f>
        <v>0</v>
      </c>
      <c r="Y128" s="231">
        <f t="shared" si="79"/>
        <v>0</v>
      </c>
      <c r="Z128" s="231">
        <f t="shared" si="79"/>
        <v>0</v>
      </c>
      <c r="AA128" s="231">
        <f t="shared" si="79"/>
        <v>0</v>
      </c>
      <c r="AB128" s="231">
        <f t="shared" si="79"/>
        <v>0</v>
      </c>
      <c r="AC128" s="231">
        <f t="shared" si="79"/>
        <v>0</v>
      </c>
      <c r="AD128" s="231">
        <f t="shared" si="79"/>
        <v>0</v>
      </c>
      <c r="AE128" s="231">
        <f t="shared" si="79"/>
        <v>0</v>
      </c>
      <c r="AF128" s="231">
        <f t="shared" si="79"/>
        <v>0</v>
      </c>
    </row>
    <row r="129" spans="21:32" ht="15" thickBot="1" x14ac:dyDescent="0.4">
      <c r="U129" s="237" t="s">
        <v>474</v>
      </c>
      <c r="X129" s="229">
        <f>X128*1.2</f>
        <v>0</v>
      </c>
      <c r="Y129" s="119">
        <f>Y128</f>
        <v>0</v>
      </c>
      <c r="Z129" s="120">
        <f>Z128*1.2</f>
        <v>0</v>
      </c>
      <c r="AA129" s="229">
        <f>AA128*1.22</f>
        <v>0</v>
      </c>
      <c r="AB129" s="119">
        <f t="shared" ref="AB129" si="80">AB128</f>
        <v>0</v>
      </c>
      <c r="AC129" s="120">
        <f t="shared" ref="AC129" si="81">AC128*1.22</f>
        <v>0</v>
      </c>
      <c r="AD129" s="229">
        <f>AD128*1.22</f>
        <v>0</v>
      </c>
      <c r="AE129" s="119">
        <f t="shared" ref="AE129" si="82">AE128</f>
        <v>0</v>
      </c>
      <c r="AF129" s="120">
        <f t="shared" ref="AF129" si="83">AF128*1.22</f>
        <v>0</v>
      </c>
    </row>
    <row r="130" spans="21:32" ht="15" thickBot="1" x14ac:dyDescent="0.4">
      <c r="X130" s="238"/>
      <c r="Y130" s="238"/>
      <c r="Z130" s="238"/>
      <c r="AA130" s="238"/>
      <c r="AB130" s="238"/>
      <c r="AC130" s="238"/>
      <c r="AD130" s="238"/>
      <c r="AE130" s="238"/>
      <c r="AF130" s="238"/>
    </row>
    <row r="131" spans="21:32" x14ac:dyDescent="0.35">
      <c r="U131" s="1" t="s">
        <v>10</v>
      </c>
      <c r="X131" s="231">
        <f t="shared" ref="X131:AF131" si="84">SUMIFS(X$35:X$103, $G$35:$G$103, $G$110, $P$35:$P$103, "Baaseelarve")+SUMIFS(X$35:X$103, $G$35:$G$103, $G$110, $P$35:$P$103, "Muu rahastus")+SUMIFS(X$35:X$103, $G$35:$G$103, $G$110, $P$35:$P$103, "Reserv (SR)")+SUMIFS(X$35:X$103, $G$35:$G$103, $G$110, $P$35:$P$103, "RRF")+SUMIFS(X$35:X$103, $G$35:$G$103, $G$110, $P$35:$P$103, "SF 14-20 (töös olev projekt)")</f>
        <v>0</v>
      </c>
      <c r="Y131" s="231">
        <f t="shared" si="84"/>
        <v>0</v>
      </c>
      <c r="Z131" s="231">
        <f t="shared" si="84"/>
        <v>0</v>
      </c>
      <c r="AA131" s="231">
        <f t="shared" si="84"/>
        <v>0</v>
      </c>
      <c r="AB131" s="231">
        <f t="shared" si="84"/>
        <v>0</v>
      </c>
      <c r="AC131" s="231">
        <f t="shared" si="84"/>
        <v>0</v>
      </c>
      <c r="AD131" s="231">
        <f t="shared" si="84"/>
        <v>0</v>
      </c>
      <c r="AE131" s="231">
        <f t="shared" si="84"/>
        <v>0</v>
      </c>
      <c r="AF131" s="231">
        <f t="shared" si="84"/>
        <v>0</v>
      </c>
    </row>
    <row r="132" spans="21:32" ht="15" thickBot="1" x14ac:dyDescent="0.4">
      <c r="U132" s="237" t="s">
        <v>474</v>
      </c>
      <c r="X132" s="229">
        <f>X131*1.2</f>
        <v>0</v>
      </c>
      <c r="Y132" s="119">
        <f>Y131</f>
        <v>0</v>
      </c>
      <c r="Z132" s="120">
        <f>Z131*1.2</f>
        <v>0</v>
      </c>
      <c r="AA132" s="229">
        <f>AA131*1.22</f>
        <v>0</v>
      </c>
      <c r="AB132" s="119">
        <f t="shared" ref="AB132" si="85">AB131</f>
        <v>0</v>
      </c>
      <c r="AC132" s="120">
        <f t="shared" ref="AC132" si="86">AC131*1.22</f>
        <v>0</v>
      </c>
      <c r="AD132" s="229">
        <f>AD131*1.22</f>
        <v>0</v>
      </c>
      <c r="AE132" s="119">
        <f t="shared" ref="AE132" si="87">AE131</f>
        <v>0</v>
      </c>
      <c r="AF132" s="120">
        <f t="shared" ref="AF132" si="88">AF131*1.22</f>
        <v>0</v>
      </c>
    </row>
    <row r="133" spans="21:32" x14ac:dyDescent="0.35">
      <c r="X133" s="238"/>
      <c r="Y133" s="238"/>
      <c r="Z133" s="238"/>
      <c r="AA133" s="238"/>
      <c r="AB133" s="238"/>
      <c r="AC133" s="238"/>
      <c r="AD133" s="238"/>
      <c r="AE133" s="238"/>
      <c r="AF133" s="238"/>
    </row>
    <row r="134" spans="21:32" x14ac:dyDescent="0.35">
      <c r="X134" s="238"/>
      <c r="Y134" s="238"/>
      <c r="Z134" s="238"/>
      <c r="AA134" s="238"/>
      <c r="AB134" s="238"/>
      <c r="AC134" s="238"/>
      <c r="AD134" s="238"/>
      <c r="AE134" s="238"/>
      <c r="AF134" s="238"/>
    </row>
    <row r="135" spans="21:32" x14ac:dyDescent="0.35">
      <c r="X135" s="238"/>
      <c r="Y135" s="238"/>
      <c r="Z135" s="238"/>
      <c r="AA135" s="238"/>
      <c r="AB135" s="238"/>
      <c r="AC135" s="238"/>
      <c r="AD135" s="238"/>
      <c r="AE135" s="238"/>
      <c r="AF135" s="238"/>
    </row>
    <row r="136" spans="21:32" ht="15" thickBot="1" x14ac:dyDescent="0.4">
      <c r="U136" s="230" t="s">
        <v>190</v>
      </c>
    </row>
    <row r="137" spans="21:32" x14ac:dyDescent="0.35">
      <c r="U137" s="1" t="s">
        <v>7</v>
      </c>
      <c r="X137" s="231">
        <f t="shared" ref="X137:AF137" si="89">SUMIFS(X$35:X$103,$G$35:$G$103,$G$107,$P$35:$P$103,$P$109)</f>
        <v>0</v>
      </c>
      <c r="Y137" s="231">
        <f t="shared" si="89"/>
        <v>0</v>
      </c>
      <c r="Z137" s="231">
        <f t="shared" si="89"/>
        <v>0</v>
      </c>
      <c r="AA137" s="231">
        <f t="shared" si="89"/>
        <v>0</v>
      </c>
      <c r="AB137" s="231">
        <f t="shared" si="89"/>
        <v>0</v>
      </c>
      <c r="AC137" s="231">
        <f t="shared" si="89"/>
        <v>0</v>
      </c>
      <c r="AD137" s="231">
        <f t="shared" si="89"/>
        <v>0</v>
      </c>
      <c r="AE137" s="231">
        <f t="shared" si="89"/>
        <v>241500</v>
      </c>
      <c r="AF137" s="231">
        <f t="shared" si="89"/>
        <v>121000</v>
      </c>
    </row>
    <row r="138" spans="21:32" ht="15" thickBot="1" x14ac:dyDescent="0.4">
      <c r="U138" s="237" t="s">
        <v>474</v>
      </c>
      <c r="X138" s="229">
        <f>X137*1.2</f>
        <v>0</v>
      </c>
      <c r="Y138" s="119">
        <f>Y137</f>
        <v>0</v>
      </c>
      <c r="Z138" s="120">
        <f>Z137*1.2</f>
        <v>0</v>
      </c>
      <c r="AA138" s="229">
        <f>AA137*1.22</f>
        <v>0</v>
      </c>
      <c r="AB138" s="119">
        <f t="shared" ref="AB138" si="90">AB137</f>
        <v>0</v>
      </c>
      <c r="AC138" s="120">
        <f t="shared" ref="AC138" si="91">AC137*1.22</f>
        <v>0</v>
      </c>
      <c r="AD138" s="229">
        <f>AD137*1.22</f>
        <v>0</v>
      </c>
      <c r="AE138" s="119">
        <f t="shared" ref="AE138" si="92">AE137</f>
        <v>241500</v>
      </c>
      <c r="AF138" s="120">
        <f t="shared" ref="AF138" si="93">AF137*1.22</f>
        <v>147620</v>
      </c>
    </row>
    <row r="139" spans="21:32" ht="15" thickBot="1" x14ac:dyDescent="0.4">
      <c r="X139" s="238"/>
      <c r="Y139" s="238"/>
      <c r="Z139" s="238"/>
      <c r="AA139" s="238"/>
      <c r="AB139" s="238"/>
      <c r="AC139" s="238"/>
      <c r="AD139" s="238"/>
      <c r="AE139" s="238"/>
      <c r="AF139" s="238"/>
    </row>
    <row r="140" spans="21:32" x14ac:dyDescent="0.35">
      <c r="U140" s="1" t="s">
        <v>8</v>
      </c>
      <c r="X140" s="231">
        <f t="shared" ref="X140:AF140" si="94">SUMIFS(X$35:X$103,$G$35:$G$103,$G$108,$P$35:$P$103,$P$109)</f>
        <v>0</v>
      </c>
      <c r="Y140" s="231">
        <f t="shared" si="94"/>
        <v>0</v>
      </c>
      <c r="Z140" s="231">
        <f t="shared" si="94"/>
        <v>0</v>
      </c>
      <c r="AA140" s="231">
        <f t="shared" si="94"/>
        <v>0</v>
      </c>
      <c r="AB140" s="231">
        <f t="shared" si="94"/>
        <v>0</v>
      </c>
      <c r="AC140" s="231">
        <f t="shared" si="94"/>
        <v>0</v>
      </c>
      <c r="AD140" s="231">
        <f t="shared" si="94"/>
        <v>0</v>
      </c>
      <c r="AE140" s="231">
        <f t="shared" si="94"/>
        <v>372750</v>
      </c>
      <c r="AF140" s="231">
        <f t="shared" si="94"/>
        <v>175000</v>
      </c>
    </row>
    <row r="141" spans="21:32" ht="15" thickBot="1" x14ac:dyDescent="0.4">
      <c r="U141" s="237" t="s">
        <v>474</v>
      </c>
      <c r="X141" s="229">
        <f>X140*1.2</f>
        <v>0</v>
      </c>
      <c r="Y141" s="119">
        <f>Y140</f>
        <v>0</v>
      </c>
      <c r="Z141" s="120">
        <f>Z140*1.2</f>
        <v>0</v>
      </c>
      <c r="AA141" s="229">
        <f>AA140*1.22</f>
        <v>0</v>
      </c>
      <c r="AB141" s="119">
        <f t="shared" ref="AB141" si="95">AB140</f>
        <v>0</v>
      </c>
      <c r="AC141" s="120">
        <f t="shared" ref="AC141" si="96">AC140*1.22</f>
        <v>0</v>
      </c>
      <c r="AD141" s="229">
        <f>AD140*1.22</f>
        <v>0</v>
      </c>
      <c r="AE141" s="119">
        <f t="shared" ref="AE141" si="97">AE140</f>
        <v>372750</v>
      </c>
      <c r="AF141" s="120">
        <f t="shared" ref="AF141" si="98">AF140*1.22</f>
        <v>213500</v>
      </c>
    </row>
    <row r="142" spans="21:32" ht="15" thickBot="1" x14ac:dyDescent="0.4">
      <c r="X142" s="238"/>
      <c r="Y142" s="238"/>
      <c r="Z142" s="238"/>
      <c r="AA142" s="238"/>
      <c r="AB142" s="238"/>
      <c r="AC142" s="238"/>
      <c r="AD142" s="238"/>
      <c r="AE142" s="238"/>
      <c r="AF142" s="238"/>
    </row>
    <row r="143" spans="21:32" x14ac:dyDescent="0.35">
      <c r="U143" s="1" t="s">
        <v>478</v>
      </c>
      <c r="X143" s="231">
        <f t="shared" ref="X143:AF143" si="99">SUMIFS(X$35:X$103,$G$35:$G$103,$G$109,$P$35:$P$103,$P$109)</f>
        <v>0</v>
      </c>
      <c r="Y143" s="231">
        <f t="shared" si="99"/>
        <v>0</v>
      </c>
      <c r="Z143" s="231">
        <f t="shared" si="99"/>
        <v>0</v>
      </c>
      <c r="AA143" s="231">
        <f t="shared" si="99"/>
        <v>0</v>
      </c>
      <c r="AB143" s="231">
        <f t="shared" si="99"/>
        <v>0</v>
      </c>
      <c r="AC143" s="231">
        <f t="shared" si="99"/>
        <v>0</v>
      </c>
      <c r="AD143" s="231">
        <f t="shared" si="99"/>
        <v>0</v>
      </c>
      <c r="AE143" s="231">
        <f t="shared" si="99"/>
        <v>74904</v>
      </c>
      <c r="AF143" s="231">
        <f t="shared" si="99"/>
        <v>76040</v>
      </c>
    </row>
    <row r="144" spans="21:32" ht="15" thickBot="1" x14ac:dyDescent="0.4">
      <c r="U144" s="237" t="s">
        <v>474</v>
      </c>
      <c r="X144" s="229">
        <f>X143*1.2</f>
        <v>0</v>
      </c>
      <c r="Y144" s="119">
        <f>Y143</f>
        <v>0</v>
      </c>
      <c r="Z144" s="120">
        <f>Z143*1.2</f>
        <v>0</v>
      </c>
      <c r="AA144" s="229">
        <f>AA143*1.22</f>
        <v>0</v>
      </c>
      <c r="AB144" s="119">
        <f t="shared" ref="AB144" si="100">AB143</f>
        <v>0</v>
      </c>
      <c r="AC144" s="120">
        <f t="shared" ref="AC144" si="101">AC143*1.22</f>
        <v>0</v>
      </c>
      <c r="AD144" s="229">
        <f>AD143*1.22</f>
        <v>0</v>
      </c>
      <c r="AE144" s="119">
        <f t="shared" ref="AE144" si="102">AE143</f>
        <v>74904</v>
      </c>
      <c r="AF144" s="120">
        <f t="shared" ref="AF144" si="103">AF143*1.22</f>
        <v>92768.8</v>
      </c>
    </row>
    <row r="145" spans="21:32" ht="15" thickBot="1" x14ac:dyDescent="0.4">
      <c r="X145" s="238"/>
      <c r="Y145" s="238"/>
      <c r="Z145" s="238"/>
      <c r="AA145" s="238"/>
      <c r="AB145" s="238"/>
      <c r="AC145" s="238"/>
      <c r="AD145" s="238"/>
      <c r="AE145" s="238"/>
      <c r="AF145" s="238"/>
    </row>
    <row r="146" spans="21:32" x14ac:dyDescent="0.35">
      <c r="U146" s="1" t="s">
        <v>10</v>
      </c>
      <c r="X146" s="231">
        <f t="shared" ref="X146:AF146" si="104">SUMIFS(X$35:X$103,$G$35:$G$103,$G$110,$P$35:$P$103,$P$109)</f>
        <v>0</v>
      </c>
      <c r="Y146" s="231">
        <f t="shared" si="104"/>
        <v>0</v>
      </c>
      <c r="Z146" s="231">
        <f t="shared" si="104"/>
        <v>0</v>
      </c>
      <c r="AA146" s="231">
        <f t="shared" si="104"/>
        <v>0</v>
      </c>
      <c r="AB146" s="231">
        <f t="shared" si="104"/>
        <v>0</v>
      </c>
      <c r="AC146" s="231">
        <f t="shared" si="104"/>
        <v>0</v>
      </c>
      <c r="AD146" s="231">
        <f t="shared" si="104"/>
        <v>0</v>
      </c>
      <c r="AE146" s="231">
        <f t="shared" si="104"/>
        <v>6860631.8500000006</v>
      </c>
      <c r="AF146" s="231">
        <f t="shared" si="104"/>
        <v>6322816.1499999994</v>
      </c>
    </row>
    <row r="147" spans="21:32" ht="15" thickBot="1" x14ac:dyDescent="0.4">
      <c r="U147" s="237" t="s">
        <v>474</v>
      </c>
      <c r="X147" s="229">
        <f>X146*1.2</f>
        <v>0</v>
      </c>
      <c r="Y147" s="119">
        <f>Y146</f>
        <v>0</v>
      </c>
      <c r="Z147" s="120">
        <f>Z146*1.2</f>
        <v>0</v>
      </c>
      <c r="AA147" s="229">
        <f>AA146*1.22</f>
        <v>0</v>
      </c>
      <c r="AB147" s="119">
        <f t="shared" ref="AB147" si="105">AB146</f>
        <v>0</v>
      </c>
      <c r="AC147" s="120">
        <f t="shared" ref="AC147" si="106">AC146*1.22</f>
        <v>0</v>
      </c>
      <c r="AD147" s="229">
        <f>AD146*1.22</f>
        <v>0</v>
      </c>
      <c r="AE147" s="119">
        <f t="shared" ref="AE147" si="107">AE146</f>
        <v>6860631.8500000006</v>
      </c>
      <c r="AF147" s="120">
        <f t="shared" ref="AF147" si="108">AF146*1.22</f>
        <v>7713835.7029999988</v>
      </c>
    </row>
  </sheetData>
  <sheetProtection selectLockedCells="1" sort="0" autoFilter="0" selectUnlockedCells="1"/>
  <autoFilter ref="A33:AR105" xr:uid="{26F4B7B0-4764-496D-9313-E7C884B0D6FB}">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autoFilter>
  <mergeCells count="22">
    <mergeCell ref="B2:E2"/>
    <mergeCell ref="G2:K2"/>
    <mergeCell ref="R34:W34"/>
    <mergeCell ref="K26:R26"/>
    <mergeCell ref="K19:R19"/>
    <mergeCell ref="K22:R22"/>
    <mergeCell ref="K25:R25"/>
    <mergeCell ref="K28:R28"/>
    <mergeCell ref="AM33:AO33"/>
    <mergeCell ref="X33:Z33"/>
    <mergeCell ref="AA33:AC33"/>
    <mergeCell ref="AD33:AF33"/>
    <mergeCell ref="AG33:AI33"/>
    <mergeCell ref="AJ33:AL33"/>
    <mergeCell ref="X32:AO32"/>
    <mergeCell ref="B17:I17"/>
    <mergeCell ref="B20:I20"/>
    <mergeCell ref="B26:I26"/>
    <mergeCell ref="B23:I23"/>
    <mergeCell ref="K20:R20"/>
    <mergeCell ref="K23:R23"/>
    <mergeCell ref="K17:R17"/>
  </mergeCells>
  <phoneticPr fontId="7" type="noConversion"/>
  <dataValidations count="15">
    <dataValidation type="list" allowBlank="1" showInputMessage="1" showErrorMessage="1" sqref="P128:P160 N127 O126 P31:P32" xr:uid="{258C40CF-7ED3-46AD-9DBE-9E35B6A83AF2}">
      <formula1>$R$19:$R$22</formula1>
    </dataValidation>
    <dataValidation type="list" allowBlank="1" showInputMessage="1" showErrorMessage="1" sqref="F127:F161 F31:F32" xr:uid="{6788E54C-2BD5-4096-85C2-888BADA7E1F2}">
      <formula1>$H$3:$K$3</formula1>
    </dataValidation>
    <dataValidation type="list" allowBlank="1" showInputMessage="1" showErrorMessage="1" sqref="P35:P62 P78:P96 P98:P104" xr:uid="{D3E718C6-7AB1-4871-9C15-0A5014791696}">
      <formula1>$P$107:$P$113</formula1>
    </dataValidation>
    <dataValidation type="list" allowBlank="1" showInputMessage="1" showErrorMessage="1" sqref="E77:E96 E69:E70 E98:E104 E35:E62" xr:uid="{4537B685-D58B-48A6-A09A-6E7B0652C7B9}">
      <formula1>$E$107:$E$109</formula1>
    </dataValidation>
    <dataValidation type="list" allowBlank="1" showInputMessage="1" showErrorMessage="1" sqref="F77:F96 F69:F70 F98:F104 F35:F63" xr:uid="{EA197172-5E41-4726-AB9F-2F1BADFCFFAC}">
      <formula1>$F$107:$F$125</formula1>
    </dataValidation>
    <dataValidation type="list" allowBlank="1" showInputMessage="1" showErrorMessage="1" sqref="G98:G104 G69:G73 G75:G96 G35:G66" xr:uid="{58A20634-86BF-47AA-9970-DA930862660F}">
      <formula1>$G$107:$G$110</formula1>
    </dataValidation>
    <dataValidation type="whole" allowBlank="1" showInputMessage="1" showErrorMessage="1" sqref="B19" xr:uid="{16A401D0-9027-4D30-9FE7-135EE1D9BF9C}">
      <formula1>0</formula1>
      <formula2>10000000</formula2>
    </dataValidation>
    <dataValidation type="whole" allowBlank="1" showInputMessage="1" showErrorMessage="1" sqref="B22 B25:I25" xr:uid="{234ED7E6-6514-42DD-A484-25956C5CC26E}">
      <formula1>0</formula1>
      <formula2>100</formula2>
    </dataValidation>
    <dataValidation type="list" allowBlank="1" showInputMessage="1" showErrorMessage="1" sqref="AQ74:AQ75 AQ93:AQ96 AQ78:AQ91 AQ35:AQ62 AQ98:AQ104" xr:uid="{63C0EE7F-3A35-4E09-8468-E4CA0CE5603D}">
      <formula1>$AQ$107:$AQ$111</formula1>
    </dataValidation>
    <dataValidation type="list" allowBlank="1" showInputMessage="1" showErrorMessage="1" sqref="P97" xr:uid="{2336A7E5-DE2B-480F-B21E-D0EA9C333A03}">
      <formula1>$P$98:$P$104</formula1>
    </dataValidation>
    <dataValidation type="list" allowBlank="1" showInputMessage="1" showErrorMessage="1" sqref="E97" xr:uid="{260FA72D-5F58-4FCF-B051-1210DCB12019}">
      <formula1>$E$98:$E$100</formula1>
    </dataValidation>
    <dataValidation type="list" allowBlank="1" showInputMessage="1" showErrorMessage="1" sqref="F97" xr:uid="{A18A7549-8F95-4AA6-B22C-4FED86F21DB5}">
      <formula1>$F$98:$F$116</formula1>
    </dataValidation>
    <dataValidation type="list" allowBlank="1" showInputMessage="1" showErrorMessage="1" sqref="G97" xr:uid="{1ED159E1-536D-494C-A3B2-019321DEE31E}">
      <formula1>$G$98:$G$101</formula1>
    </dataValidation>
    <dataValidation type="list" allowBlank="1" showInputMessage="1" showErrorMessage="1" sqref="AQ97" xr:uid="{11C238AF-44EF-4734-A4A9-C6FB818F89F8}">
      <formula1>$AQ$98:$AQ$102</formula1>
    </dataValidation>
    <dataValidation type="list" allowBlank="1" showInputMessage="1" showErrorMessage="1" sqref="P76:P77 AQ76:AQ77 AQ92" xr:uid="{3A058054-E10C-431F-8E10-188EFEBCCF95}">
      <formula1>#REF!</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1F729-9D90-42B6-8314-2527032805E7}">
  <sheetPr codeName="Leht2"/>
  <dimension ref="A1:AV117"/>
  <sheetViews>
    <sheetView topLeftCell="A29" zoomScale="80" zoomScaleNormal="80" workbookViewId="0">
      <selection activeCell="A35" sqref="A35"/>
    </sheetView>
  </sheetViews>
  <sheetFormatPr defaultRowHeight="15" customHeight="1" x14ac:dyDescent="0.35"/>
  <cols>
    <col min="1" max="1" width="21.1796875" customWidth="1"/>
    <col min="2" max="2" width="15" customWidth="1"/>
    <col min="3" max="3" width="13.81640625" customWidth="1"/>
    <col min="4" max="4" width="14.1796875" customWidth="1"/>
    <col min="5" max="5" width="16.81640625" customWidth="1"/>
    <col min="6" max="6" width="18.54296875" customWidth="1"/>
    <col min="7" max="7" width="14.1796875" customWidth="1"/>
    <col min="8" max="8" width="11.81640625" customWidth="1"/>
    <col min="9" max="9" width="20.1796875" customWidth="1"/>
    <col min="10" max="10" width="25.1796875" style="3" customWidth="1"/>
    <col min="11" max="11" width="42" customWidth="1"/>
    <col min="12" max="12" width="12" hidden="1" customWidth="1"/>
    <col min="13" max="13" width="14.1796875" hidden="1" customWidth="1"/>
    <col min="14" max="14" width="12.1796875" customWidth="1"/>
    <col min="16" max="16" width="14.81640625" bestFit="1" customWidth="1"/>
    <col min="17" max="17" width="9.1796875" customWidth="1"/>
    <col min="18" max="21" width="13.1796875" hidden="1" customWidth="1"/>
    <col min="22" max="24" width="9.1796875" hidden="1" customWidth="1"/>
    <col min="25" max="25" width="11" hidden="1" customWidth="1"/>
    <col min="26" max="36" width="10.1796875" hidden="1" customWidth="1"/>
    <col min="37" max="37" width="40.1796875" hidden="1" customWidth="1"/>
    <col min="38" max="38" width="37" hidden="1" customWidth="1"/>
    <col min="39" max="39" width="60.81640625" hidden="1" customWidth="1"/>
    <col min="40" max="40" width="9.1796875" customWidth="1"/>
    <col min="41" max="42" width="10.1796875" bestFit="1" customWidth="1"/>
    <col min="43" max="43" width="10.81640625" customWidth="1"/>
    <col min="44" max="44" width="73.54296875" customWidth="1"/>
  </cols>
  <sheetData>
    <row r="1" spans="1:11" ht="14.5" x14ac:dyDescent="0.35">
      <c r="A1" s="5" t="s">
        <v>486</v>
      </c>
      <c r="B1" s="182"/>
      <c r="C1" s="183"/>
      <c r="D1" s="183"/>
      <c r="E1" s="8"/>
      <c r="F1" s="361"/>
      <c r="G1" s="361"/>
      <c r="H1" s="361"/>
      <c r="I1" s="8"/>
    </row>
    <row r="2" spans="1:11" ht="30.75" customHeight="1" x14ac:dyDescent="0.35">
      <c r="A2" s="7" t="s">
        <v>1</v>
      </c>
      <c r="B2" s="1039" t="s">
        <v>2</v>
      </c>
      <c r="C2" s="1039"/>
      <c r="D2" s="1039"/>
      <c r="E2" s="8"/>
      <c r="F2" s="8"/>
      <c r="G2" s="8"/>
      <c r="H2" s="8"/>
      <c r="I2" s="8"/>
      <c r="J2" s="4"/>
    </row>
    <row r="3" spans="1:11" ht="14.5" x14ac:dyDescent="0.35">
      <c r="A3" s="11" t="s">
        <v>4</v>
      </c>
      <c r="B3" s="12" t="s">
        <v>487</v>
      </c>
      <c r="C3" s="13">
        <v>2023</v>
      </c>
      <c r="D3" s="13">
        <v>2024</v>
      </c>
      <c r="E3" s="8"/>
      <c r="F3" s="8"/>
      <c r="G3" s="8"/>
      <c r="H3" s="8"/>
      <c r="I3" s="8"/>
      <c r="J3" s="4"/>
      <c r="K3" s="3"/>
    </row>
    <row r="4" spans="1:11" ht="14.5" x14ac:dyDescent="0.35">
      <c r="A4" s="5" t="s">
        <v>11</v>
      </c>
      <c r="B4" s="9">
        <f>SUM(C4:D4)</f>
        <v>1483648</v>
      </c>
      <c r="C4" s="9">
        <f>SUM(C5+C12)</f>
        <v>227148</v>
      </c>
      <c r="D4" s="9">
        <f>SUM(D5+D12)</f>
        <v>1256500</v>
      </c>
      <c r="E4" s="8"/>
      <c r="F4" s="8"/>
      <c r="G4" s="8"/>
      <c r="H4" s="8"/>
      <c r="I4" s="8"/>
      <c r="J4" s="4"/>
      <c r="K4" s="4"/>
    </row>
    <row r="5" spans="1:11" ht="15.5" x14ac:dyDescent="0.35">
      <c r="A5" s="5" t="s">
        <v>12</v>
      </c>
      <c r="B5" s="9">
        <f>SUM(C5:D5)</f>
        <v>0</v>
      </c>
      <c r="C5" s="9">
        <f>SUM(C6:C11)</f>
        <v>0</v>
      </c>
      <c r="D5" s="9">
        <f>SUM(D6:D11)</f>
        <v>0</v>
      </c>
      <c r="E5" s="16"/>
      <c r="F5" s="8"/>
      <c r="G5" s="8"/>
      <c r="H5" s="8"/>
      <c r="I5" s="8"/>
      <c r="J5" s="4"/>
    </row>
    <row r="6" spans="1:11" ht="14.5" x14ac:dyDescent="0.35">
      <c r="A6" s="30" t="s">
        <v>13</v>
      </c>
      <c r="B6" s="17">
        <f t="shared" ref="B6:B14" si="0">SUM(C6:D6)</f>
        <v>0</v>
      </c>
      <c r="C6" s="18">
        <f>SUMIFS(Q35:Q94,O35:O94,"Baaseelarve")</f>
        <v>0</v>
      </c>
      <c r="D6" s="18">
        <f>SUMIFS(R35:R94,O35:O94,"Baaseelarve")</f>
        <v>0</v>
      </c>
      <c r="E6" s="10"/>
      <c r="F6" s="8"/>
      <c r="G6" s="8"/>
      <c r="H6" s="8"/>
      <c r="I6" s="8"/>
      <c r="J6" s="4"/>
    </row>
    <row r="7" spans="1:11" ht="14.5" x14ac:dyDescent="0.35">
      <c r="A7" s="30" t="s">
        <v>14</v>
      </c>
      <c r="B7" s="17">
        <f t="shared" si="0"/>
        <v>0</v>
      </c>
      <c r="C7" s="18">
        <f>SUMIFS(Q35:Q94,O35:O94,"Muu rahastus")</f>
        <v>0</v>
      </c>
      <c r="D7" s="18">
        <f>SUMIFS(R35:R94,O35:O94,"Muu rahastus")</f>
        <v>0</v>
      </c>
      <c r="E7" s="10"/>
      <c r="F7" s="8"/>
      <c r="G7" s="8"/>
      <c r="H7" s="8"/>
      <c r="I7" s="8"/>
      <c r="J7" s="4"/>
    </row>
    <row r="8" spans="1:11" ht="14.5" x14ac:dyDescent="0.35">
      <c r="A8" s="30" t="s">
        <v>15</v>
      </c>
      <c r="B8" s="17">
        <f t="shared" si="0"/>
        <v>0</v>
      </c>
      <c r="C8" s="18">
        <f>SUMIFS(Q35:Q94,O35:O94,"Reserv (SR)")</f>
        <v>0</v>
      </c>
      <c r="D8" s="18">
        <f>SUMIFS(R35:R94,O35:O94,"Reserv (SR)")</f>
        <v>0</v>
      </c>
      <c r="E8" s="10"/>
      <c r="F8" s="8"/>
      <c r="G8" s="8"/>
      <c r="H8" s="8"/>
      <c r="I8" s="8"/>
      <c r="J8" s="4"/>
    </row>
    <row r="9" spans="1:11" ht="14.5" hidden="1" x14ac:dyDescent="0.35">
      <c r="A9" s="30" t="s">
        <v>16</v>
      </c>
      <c r="B9" s="17">
        <f t="shared" si="0"/>
        <v>0</v>
      </c>
      <c r="C9" s="18">
        <f>SUMIFS(Q35:Q94,O35:O94,"RRF")</f>
        <v>0</v>
      </c>
      <c r="D9" s="18">
        <f>SUMIFS(R35:R94,O35:O94,"RRF")</f>
        <v>0</v>
      </c>
      <c r="E9" s="10"/>
      <c r="F9" s="8"/>
      <c r="G9" s="8"/>
      <c r="H9" s="8"/>
      <c r="I9" s="8"/>
      <c r="J9" s="4"/>
    </row>
    <row r="10" spans="1:11" ht="14.5" x14ac:dyDescent="0.35">
      <c r="A10" s="30" t="s">
        <v>17</v>
      </c>
      <c r="B10" s="17">
        <f t="shared" si="0"/>
        <v>0</v>
      </c>
      <c r="C10" s="18">
        <f>SUMIFS(Q35:Q94,O35:O94,"SF 14-20 (töös olev projekt)")</f>
        <v>0</v>
      </c>
      <c r="D10" s="18">
        <f>SUMIFS(R35:R94,O35:O94,"SF 14-20 (töös olev projekt)")</f>
        <v>0</v>
      </c>
      <c r="E10" s="10"/>
      <c r="F10" s="8"/>
      <c r="G10" s="8"/>
      <c r="H10" s="8"/>
      <c r="I10" s="8"/>
      <c r="J10" s="4"/>
    </row>
    <row r="11" spans="1:11" ht="14.5" x14ac:dyDescent="0.35">
      <c r="A11" s="30" t="s">
        <v>18</v>
      </c>
      <c r="B11" s="17">
        <f>SUM(C11:D11)</f>
        <v>0</v>
      </c>
      <c r="C11" s="18"/>
      <c r="D11" s="18"/>
      <c r="E11" s="10"/>
      <c r="F11" s="8"/>
      <c r="G11" s="8"/>
      <c r="H11" s="8"/>
      <c r="I11" s="8"/>
      <c r="J11" s="4"/>
    </row>
    <row r="12" spans="1:11" ht="14.5" x14ac:dyDescent="0.35">
      <c r="A12" s="5" t="s">
        <v>19</v>
      </c>
      <c r="B12" s="9">
        <f t="shared" si="0"/>
        <v>1483648</v>
      </c>
      <c r="C12" s="9">
        <f>SUM(C13:C14)</f>
        <v>227148</v>
      </c>
      <c r="D12" s="9">
        <f>SUM(D13:D14)</f>
        <v>1256500</v>
      </c>
      <c r="E12" s="10"/>
      <c r="F12" s="8"/>
      <c r="G12" s="8"/>
      <c r="H12" s="8"/>
      <c r="I12" s="8"/>
      <c r="J12" s="4"/>
    </row>
    <row r="13" spans="1:11" ht="14.5" x14ac:dyDescent="0.35">
      <c r="A13" s="30" t="s">
        <v>20</v>
      </c>
      <c r="B13" s="17">
        <f t="shared" si="0"/>
        <v>0</v>
      </c>
      <c r="C13" s="18">
        <f>SUMIFS(Q35:Q95,O35:O95,"RES IKT (vaja juurde taotleda)")</f>
        <v>0</v>
      </c>
      <c r="D13" s="18">
        <f>SUMIFS(R35:R95,O35:O95,"RES IKT (vaja juurde taotleda)")</f>
        <v>0</v>
      </c>
      <c r="E13" s="10" t="s">
        <v>488</v>
      </c>
      <c r="F13" s="8"/>
      <c r="G13" s="8"/>
      <c r="H13" s="8"/>
      <c r="I13" s="8"/>
      <c r="J13" s="4"/>
    </row>
    <row r="14" spans="1:11" ht="14.5" x14ac:dyDescent="0.35">
      <c r="A14" s="30" t="s">
        <v>22</v>
      </c>
      <c r="B14" s="17">
        <f t="shared" si="0"/>
        <v>1483648</v>
      </c>
      <c r="C14" s="18">
        <f>SUMIFS(Q35:Q94,O35:O94,"SF 21-27 (taotletav raha)")</f>
        <v>227148</v>
      </c>
      <c r="D14" s="18">
        <f>SUMIFS(R35:R94,O35:O94,"SF 21-27 (taotletav raha)")</f>
        <v>1256500</v>
      </c>
      <c r="E14" s="10"/>
      <c r="F14" s="8"/>
      <c r="G14" s="8"/>
      <c r="H14" s="8"/>
      <c r="I14" s="8"/>
      <c r="J14" s="4"/>
    </row>
    <row r="15" spans="1:11" ht="14.5" x14ac:dyDescent="0.35">
      <c r="A15" s="6"/>
      <c r="B15" s="6"/>
      <c r="C15" s="6"/>
      <c r="D15" s="6"/>
      <c r="E15" s="6"/>
      <c r="F15" s="6"/>
      <c r="G15" s="6"/>
      <c r="H15" s="6"/>
      <c r="I15" s="6"/>
    </row>
    <row r="16" spans="1:11" ht="14.5" x14ac:dyDescent="0.35">
      <c r="A16" s="10" t="s">
        <v>24</v>
      </c>
      <c r="B16" s="6"/>
      <c r="C16" s="6"/>
      <c r="D16" s="6"/>
      <c r="E16" s="6"/>
      <c r="F16" s="6"/>
      <c r="G16" s="6"/>
      <c r="H16" s="6"/>
      <c r="I16" s="6"/>
    </row>
    <row r="17" spans="1:44" ht="29.15" customHeight="1" x14ac:dyDescent="0.35">
      <c r="A17" s="50" t="s">
        <v>25</v>
      </c>
      <c r="B17" s="1002" t="s">
        <v>26</v>
      </c>
      <c r="C17" s="1002"/>
      <c r="D17" s="1002"/>
      <c r="E17" s="1002"/>
      <c r="F17" s="1002"/>
      <c r="G17" s="1002"/>
      <c r="H17" s="1002"/>
      <c r="I17" s="1002"/>
      <c r="J17" s="362" t="s">
        <v>27</v>
      </c>
      <c r="K17" s="1022" t="s">
        <v>28</v>
      </c>
      <c r="L17" s="1007"/>
      <c r="M17" s="1007"/>
      <c r="N17" s="1007"/>
      <c r="O17" s="1007"/>
      <c r="P17" s="1007"/>
      <c r="Q17" s="1038"/>
    </row>
    <row r="18" spans="1:44" ht="14.5" x14ac:dyDescent="0.35">
      <c r="A18" s="51" t="s">
        <v>489</v>
      </c>
      <c r="B18" s="111" t="s">
        <v>30</v>
      </c>
      <c r="C18" s="112" t="s">
        <v>31</v>
      </c>
      <c r="D18" s="112" t="s">
        <v>32</v>
      </c>
      <c r="E18" s="112" t="s">
        <v>33</v>
      </c>
      <c r="F18" s="112" t="s">
        <v>34</v>
      </c>
      <c r="G18" s="112" t="s">
        <v>35</v>
      </c>
      <c r="H18" s="112" t="s">
        <v>36</v>
      </c>
      <c r="I18" s="218" t="s">
        <v>37</v>
      </c>
      <c r="J18" s="363"/>
      <c r="K18" s="366"/>
      <c r="Q18" s="72"/>
    </row>
    <row r="19" spans="1:44" ht="14.5" x14ac:dyDescent="0.35">
      <c r="A19" s="52" t="s">
        <v>490</v>
      </c>
      <c r="B19" s="290">
        <v>0</v>
      </c>
      <c r="C19" s="462">
        <v>1400</v>
      </c>
      <c r="D19" s="462"/>
      <c r="E19" s="462"/>
      <c r="F19" s="462"/>
      <c r="G19" s="462"/>
      <c r="H19" s="462"/>
      <c r="I19" s="463">
        <v>30000</v>
      </c>
      <c r="J19" s="364"/>
      <c r="K19" s="1031" t="s">
        <v>40</v>
      </c>
      <c r="L19" s="1023"/>
      <c r="M19" s="1023"/>
      <c r="N19" s="1023"/>
      <c r="O19" s="1023"/>
      <c r="P19" s="1023"/>
      <c r="Q19" s="1037"/>
    </row>
    <row r="20" spans="1:44" ht="29.15" customHeight="1" x14ac:dyDescent="0.35">
      <c r="A20" s="50" t="s">
        <v>41</v>
      </c>
      <c r="B20" s="1004" t="s">
        <v>42</v>
      </c>
      <c r="C20" s="1004"/>
      <c r="D20" s="1004"/>
      <c r="E20" s="1004"/>
      <c r="F20" s="1004"/>
      <c r="G20" s="1004"/>
      <c r="H20" s="1004"/>
      <c r="I20" s="1004"/>
      <c r="J20" s="365"/>
      <c r="K20" s="1022" t="s">
        <v>43</v>
      </c>
      <c r="L20" s="1007"/>
      <c r="M20" s="1007"/>
      <c r="N20" s="1007"/>
      <c r="O20" s="1007"/>
      <c r="P20" s="1007"/>
      <c r="Q20" s="1038"/>
    </row>
    <row r="21" spans="1:44" ht="14.5" x14ac:dyDescent="0.35">
      <c r="A21" s="51" t="s">
        <v>489</v>
      </c>
      <c r="B21" s="111" t="s">
        <v>30</v>
      </c>
      <c r="C21" s="112" t="s">
        <v>31</v>
      </c>
      <c r="D21" s="112" t="s">
        <v>32</v>
      </c>
      <c r="E21" s="112" t="s">
        <v>33</v>
      </c>
      <c r="F21" s="112" t="s">
        <v>34</v>
      </c>
      <c r="G21" s="112" t="s">
        <v>35</v>
      </c>
      <c r="H21" s="112" t="s">
        <v>36</v>
      </c>
      <c r="I21" s="218" t="s">
        <v>37</v>
      </c>
      <c r="J21" s="363"/>
      <c r="K21" s="366"/>
      <c r="Q21" s="72"/>
    </row>
    <row r="22" spans="1:44" ht="14.5" x14ac:dyDescent="0.35">
      <c r="A22" s="52" t="s">
        <v>490</v>
      </c>
      <c r="B22" s="290">
        <v>0</v>
      </c>
      <c r="C22" s="462">
        <v>11</v>
      </c>
      <c r="D22" s="462"/>
      <c r="E22" s="462"/>
      <c r="F22" s="462"/>
      <c r="G22" s="462"/>
      <c r="H22" s="462"/>
      <c r="I22" s="463">
        <v>84</v>
      </c>
      <c r="J22" s="364"/>
      <c r="K22" s="1031" t="s">
        <v>45</v>
      </c>
      <c r="L22" s="1023"/>
      <c r="M22" s="1023"/>
      <c r="N22" s="1023"/>
      <c r="O22" s="1023"/>
      <c r="P22" s="1023"/>
      <c r="Q22" s="1037"/>
    </row>
    <row r="23" spans="1:44" ht="29.15" customHeight="1" x14ac:dyDescent="0.35">
      <c r="A23" s="50" t="s">
        <v>41</v>
      </c>
      <c r="B23" s="1004" t="s">
        <v>46</v>
      </c>
      <c r="C23" s="1004"/>
      <c r="D23" s="1004"/>
      <c r="E23" s="1004"/>
      <c r="F23" s="1004"/>
      <c r="G23" s="1004"/>
      <c r="H23" s="1004"/>
      <c r="I23" s="1004"/>
      <c r="J23" s="365"/>
      <c r="K23" s="1022" t="s">
        <v>47</v>
      </c>
      <c r="L23" s="1007"/>
      <c r="M23" s="1007"/>
      <c r="N23" s="1007"/>
      <c r="O23" s="1007"/>
      <c r="P23" s="1007"/>
      <c r="Q23" s="1038"/>
    </row>
    <row r="24" spans="1:44" ht="14.5" x14ac:dyDescent="0.35">
      <c r="A24" s="51" t="s">
        <v>489</v>
      </c>
      <c r="B24" s="111" t="s">
        <v>30</v>
      </c>
      <c r="C24" s="112" t="s">
        <v>31</v>
      </c>
      <c r="D24" s="112" t="s">
        <v>32</v>
      </c>
      <c r="E24" s="112" t="s">
        <v>33</v>
      </c>
      <c r="F24" s="112" t="s">
        <v>34</v>
      </c>
      <c r="G24" s="112" t="s">
        <v>35</v>
      </c>
      <c r="H24" s="112" t="s">
        <v>36</v>
      </c>
      <c r="I24" s="218" t="s">
        <v>37</v>
      </c>
      <c r="J24" s="363"/>
      <c r="K24" s="366"/>
      <c r="Q24" s="72"/>
    </row>
    <row r="25" spans="1:44" ht="14.5" x14ac:dyDescent="0.35">
      <c r="A25" s="52" t="s">
        <v>490</v>
      </c>
      <c r="B25" s="290">
        <v>0</v>
      </c>
      <c r="C25" s="462">
        <v>3</v>
      </c>
      <c r="D25" s="462"/>
      <c r="E25" s="462"/>
      <c r="F25" s="462"/>
      <c r="G25" s="462"/>
      <c r="H25" s="462"/>
      <c r="I25" s="463">
        <v>7</v>
      </c>
      <c r="J25" s="364"/>
      <c r="K25" s="1031" t="s">
        <v>49</v>
      </c>
      <c r="L25" s="1023"/>
      <c r="M25" s="1023"/>
      <c r="N25" s="1023"/>
      <c r="O25" s="1023"/>
      <c r="P25" s="1023"/>
      <c r="Q25" s="1037"/>
    </row>
    <row r="26" spans="1:44" ht="72.5" x14ac:dyDescent="0.35">
      <c r="A26" s="50" t="s">
        <v>50</v>
      </c>
      <c r="B26" s="1004" t="s">
        <v>51</v>
      </c>
      <c r="C26" s="1004"/>
      <c r="D26" s="1004"/>
      <c r="E26" s="1004"/>
      <c r="F26" s="1004"/>
      <c r="G26" s="1004"/>
      <c r="H26" s="1004"/>
      <c r="I26" s="1004"/>
      <c r="J26" s="365"/>
      <c r="K26" s="1022" t="s">
        <v>52</v>
      </c>
      <c r="L26" s="1007"/>
      <c r="M26" s="1007"/>
      <c r="N26" s="1007"/>
      <c r="O26" s="1007"/>
      <c r="P26" s="1007"/>
      <c r="Q26" s="1038"/>
    </row>
    <row r="27" spans="1:44" ht="28.5" customHeight="1" x14ac:dyDescent="0.35">
      <c r="A27" s="51" t="s">
        <v>489</v>
      </c>
      <c r="B27" s="111" t="s">
        <v>30</v>
      </c>
      <c r="C27" s="112" t="s">
        <v>31</v>
      </c>
      <c r="D27" s="112" t="s">
        <v>32</v>
      </c>
      <c r="E27" s="112" t="s">
        <v>33</v>
      </c>
      <c r="F27" s="112" t="s">
        <v>34</v>
      </c>
      <c r="G27" s="112" t="s">
        <v>35</v>
      </c>
      <c r="H27" s="112" t="s">
        <v>36</v>
      </c>
      <c r="I27" s="218" t="s">
        <v>37</v>
      </c>
      <c r="J27" s="363"/>
      <c r="K27" s="366"/>
      <c r="Q27" s="72"/>
    </row>
    <row r="28" spans="1:44" ht="14.5" x14ac:dyDescent="0.35">
      <c r="A28" s="52" t="s">
        <v>491</v>
      </c>
      <c r="B28" s="290">
        <v>0</v>
      </c>
      <c r="C28" s="462"/>
      <c r="D28" s="462"/>
      <c r="E28" s="462"/>
      <c r="F28" s="462"/>
      <c r="G28" s="462"/>
      <c r="H28" s="462"/>
      <c r="I28" s="463">
        <v>95</v>
      </c>
      <c r="J28" s="364"/>
      <c r="K28" s="1031" t="s">
        <v>54</v>
      </c>
      <c r="L28" s="1023"/>
      <c r="M28" s="1023"/>
      <c r="N28" s="1023"/>
      <c r="O28" s="1023"/>
      <c r="P28" s="1023"/>
      <c r="Q28" s="1037"/>
    </row>
    <row r="29" spans="1:44" ht="14.5" x14ac:dyDescent="0.35">
      <c r="A29" s="3"/>
      <c r="B29" s="3"/>
      <c r="C29" s="1"/>
      <c r="D29" s="1"/>
      <c r="E29" s="1"/>
      <c r="F29" s="1"/>
      <c r="G29" s="1"/>
      <c r="H29" s="1"/>
      <c r="I29" s="1"/>
    </row>
    <row r="31" spans="1:44" ht="14.5" x14ac:dyDescent="0.35">
      <c r="C31" s="2"/>
      <c r="D31" s="2"/>
    </row>
    <row r="32" spans="1:44" thickBot="1" x14ac:dyDescent="0.4">
      <c r="A32" s="1"/>
      <c r="B32" s="1"/>
      <c r="C32" s="78"/>
      <c r="D32" s="78"/>
      <c r="E32" s="1"/>
      <c r="F32" s="1"/>
      <c r="G32" s="1"/>
      <c r="H32" s="1"/>
      <c r="I32" s="1"/>
      <c r="K32" s="1"/>
      <c r="L32" s="1"/>
      <c r="M32" s="1"/>
      <c r="N32" s="1"/>
      <c r="O32" s="1"/>
      <c r="P32" s="1"/>
      <c r="Q32" s="1"/>
      <c r="R32" s="1"/>
      <c r="S32" s="1"/>
      <c r="T32" s="1"/>
      <c r="U32" s="1"/>
      <c r="V32" s="1040" t="s">
        <v>55</v>
      </c>
      <c r="W32" s="1040"/>
      <c r="X32" s="1040"/>
      <c r="Y32" s="1041"/>
      <c r="Z32" s="1041"/>
      <c r="AA32" s="1041"/>
      <c r="AB32" s="1041"/>
      <c r="AC32" s="1041"/>
      <c r="AD32" s="1041"/>
      <c r="AE32" s="1041"/>
      <c r="AF32" s="1041"/>
      <c r="AG32" s="1041"/>
      <c r="AH32" s="1041"/>
      <c r="AI32" s="1041"/>
      <c r="AJ32" s="1042"/>
      <c r="AK32" s="1"/>
      <c r="AL32" s="1"/>
      <c r="AM32" s="1"/>
      <c r="AN32" s="1"/>
      <c r="AO32" s="1032" t="s">
        <v>55</v>
      </c>
      <c r="AP32" s="1033"/>
      <c r="AQ32" s="1034"/>
      <c r="AR32" s="1"/>
    </row>
    <row r="33" spans="1:48" ht="44" thickBot="1" x14ac:dyDescent="0.4">
      <c r="A33" s="23" t="s">
        <v>56</v>
      </c>
      <c r="B33" s="327" t="s">
        <v>57</v>
      </c>
      <c r="C33" s="327" t="s">
        <v>58</v>
      </c>
      <c r="D33" s="327" t="s">
        <v>59</v>
      </c>
      <c r="E33" s="327" t="s">
        <v>60</v>
      </c>
      <c r="F33" s="327" t="s">
        <v>492</v>
      </c>
      <c r="G33" s="327" t="s">
        <v>493</v>
      </c>
      <c r="H33" s="327" t="s">
        <v>63</v>
      </c>
      <c r="I33" s="327" t="s">
        <v>64</v>
      </c>
      <c r="J33" s="327" t="s">
        <v>494</v>
      </c>
      <c r="K33" s="328" t="s">
        <v>66</v>
      </c>
      <c r="L33" s="329" t="s">
        <v>68</v>
      </c>
      <c r="M33" s="327" t="s">
        <v>69</v>
      </c>
      <c r="N33" s="327" t="s">
        <v>70</v>
      </c>
      <c r="O33" s="327" t="s">
        <v>71</v>
      </c>
      <c r="P33" s="341" t="s">
        <v>72</v>
      </c>
      <c r="Q33" s="23">
        <v>2023</v>
      </c>
      <c r="R33" s="241">
        <v>2024</v>
      </c>
      <c r="S33" s="241">
        <v>2025</v>
      </c>
      <c r="T33" s="241">
        <v>2026</v>
      </c>
      <c r="U33" s="240">
        <v>2027</v>
      </c>
      <c r="V33" s="1015" t="s">
        <v>495</v>
      </c>
      <c r="W33" s="1015"/>
      <c r="X33" s="1015"/>
      <c r="Y33" s="1015">
        <v>2024</v>
      </c>
      <c r="Z33" s="1013"/>
      <c r="AA33" s="1014"/>
      <c r="AB33" s="1015">
        <v>2025</v>
      </c>
      <c r="AC33" s="1013"/>
      <c r="AD33" s="1014"/>
      <c r="AE33" s="1015">
        <v>2026</v>
      </c>
      <c r="AF33" s="1013"/>
      <c r="AG33" s="1014"/>
      <c r="AH33" s="1015">
        <v>2027</v>
      </c>
      <c r="AI33" s="1013"/>
      <c r="AJ33" s="1013"/>
      <c r="AK33" s="21" t="s">
        <v>496</v>
      </c>
      <c r="AL33" s="22" t="s">
        <v>497</v>
      </c>
      <c r="AM33" s="22" t="s">
        <v>498</v>
      </c>
      <c r="AN33" s="21"/>
      <c r="AO33" s="1015" t="s">
        <v>499</v>
      </c>
      <c r="AP33" s="1035"/>
      <c r="AQ33" s="1036"/>
      <c r="AR33" s="75" t="s">
        <v>500</v>
      </c>
    </row>
    <row r="34" spans="1:48" s="14" customFormat="1" ht="151.5" customHeight="1" thickBot="1" x14ac:dyDescent="0.4">
      <c r="A34" s="342" t="s">
        <v>79</v>
      </c>
      <c r="B34" s="444" t="s">
        <v>501</v>
      </c>
      <c r="C34" s="331" t="s">
        <v>81</v>
      </c>
      <c r="D34" s="331" t="s">
        <v>82</v>
      </c>
      <c r="E34" s="332" t="s">
        <v>83</v>
      </c>
      <c r="F34" s="332" t="s">
        <v>83</v>
      </c>
      <c r="G34" s="332" t="s">
        <v>84</v>
      </c>
      <c r="H34" s="331" t="s">
        <v>85</v>
      </c>
      <c r="I34" s="331" t="s">
        <v>86</v>
      </c>
      <c r="J34" s="331" t="s">
        <v>87</v>
      </c>
      <c r="K34" s="331" t="s">
        <v>502</v>
      </c>
      <c r="L34" s="333" t="s">
        <v>90</v>
      </c>
      <c r="M34" s="333" t="s">
        <v>91</v>
      </c>
      <c r="N34" s="334" t="s">
        <v>503</v>
      </c>
      <c r="O34" s="332" t="s">
        <v>83</v>
      </c>
      <c r="P34" s="335"/>
      <c r="Q34" s="1043"/>
      <c r="R34" s="1044"/>
      <c r="S34" s="1044"/>
      <c r="T34" s="1044"/>
      <c r="U34" s="1045"/>
      <c r="V34" s="369" t="s">
        <v>93</v>
      </c>
      <c r="W34" s="370" t="s">
        <v>94</v>
      </c>
      <c r="X34" s="371" t="s">
        <v>95</v>
      </c>
      <c r="Y34" s="377" t="s">
        <v>93</v>
      </c>
      <c r="Z34" s="370" t="s">
        <v>94</v>
      </c>
      <c r="AA34" s="378" t="s">
        <v>95</v>
      </c>
      <c r="AB34" s="28" t="s">
        <v>93</v>
      </c>
      <c r="AC34" s="25" t="s">
        <v>94</v>
      </c>
      <c r="AD34" s="26" t="s">
        <v>95</v>
      </c>
      <c r="AE34" s="28" t="s">
        <v>93</v>
      </c>
      <c r="AF34" s="25" t="s">
        <v>94</v>
      </c>
      <c r="AG34" s="26" t="s">
        <v>95</v>
      </c>
      <c r="AH34" s="28" t="s">
        <v>93</v>
      </c>
      <c r="AI34" s="25" t="s">
        <v>94</v>
      </c>
      <c r="AJ34" s="27" t="s">
        <v>95</v>
      </c>
      <c r="AK34" s="343" t="s">
        <v>96</v>
      </c>
      <c r="AL34" s="344" t="s">
        <v>83</v>
      </c>
      <c r="AM34" s="356"/>
      <c r="AN34" s="346"/>
      <c r="AO34" s="28" t="s">
        <v>93</v>
      </c>
      <c r="AP34" s="25" t="s">
        <v>94</v>
      </c>
      <c r="AQ34" s="26" t="s">
        <v>95</v>
      </c>
      <c r="AR34" s="345" t="s">
        <v>504</v>
      </c>
      <c r="AV34" s="74"/>
    </row>
    <row r="35" spans="1:48" s="19" customFormat="1" ht="145" x14ac:dyDescent="0.35">
      <c r="A35" s="291" t="s">
        <v>101</v>
      </c>
      <c r="B35" s="291" t="s">
        <v>101</v>
      </c>
      <c r="C35" s="291"/>
      <c r="D35" s="292" t="s">
        <v>102</v>
      </c>
      <c r="E35" s="292" t="s">
        <v>103</v>
      </c>
      <c r="F35" s="292" t="s">
        <v>104</v>
      </c>
      <c r="G35" s="292" t="s">
        <v>478</v>
      </c>
      <c r="H35" s="292" t="s">
        <v>106</v>
      </c>
      <c r="I35" s="292" t="s">
        <v>107</v>
      </c>
      <c r="J35" s="292" t="s">
        <v>108</v>
      </c>
      <c r="K35" s="292" t="s">
        <v>109</v>
      </c>
      <c r="L35" s="292">
        <v>9</v>
      </c>
      <c r="M35" s="292"/>
      <c r="N35" s="292" t="s">
        <v>111</v>
      </c>
      <c r="O35" s="292" t="s">
        <v>112</v>
      </c>
      <c r="P35" s="276">
        <f t="shared" ref="P35:P66" si="1">SUM(Q35:U35)</f>
        <v>15000</v>
      </c>
      <c r="Q35" s="285">
        <f t="shared" ref="Q35:Q94" si="2">SUM(V35:X35)</f>
        <v>0</v>
      </c>
      <c r="R35" s="347">
        <f t="shared" ref="R35:R66" si="3">SUM(Y35:AA35)</f>
        <v>15000</v>
      </c>
      <c r="S35" s="347">
        <f t="shared" ref="S35:S66" si="4">SUM(AB35:AD35)</f>
        <v>0</v>
      </c>
      <c r="T35" s="347">
        <f t="shared" ref="T35:T66" si="5">SUM(AE35:AG35)</f>
        <v>0</v>
      </c>
      <c r="U35" s="367">
        <f t="shared" ref="U35:U66" si="6">SUM(AH35:AJ35)</f>
        <v>0</v>
      </c>
      <c r="V35" s="285"/>
      <c r="W35" s="284"/>
      <c r="X35" s="374"/>
      <c r="Y35" s="285"/>
      <c r="Z35" s="284"/>
      <c r="AA35" s="372">
        <f>15000</f>
        <v>15000</v>
      </c>
      <c r="AB35" s="279"/>
      <c r="AC35" s="280"/>
      <c r="AD35" s="282"/>
      <c r="AE35" s="281"/>
      <c r="AF35" s="280"/>
      <c r="AG35" s="282"/>
      <c r="AH35" s="281"/>
      <c r="AI35" s="280"/>
      <c r="AJ35" s="280"/>
      <c r="AK35" s="293"/>
      <c r="AL35" s="283"/>
      <c r="AM35" s="293"/>
      <c r="AN35" s="359"/>
      <c r="AO35" s="350"/>
      <c r="AP35" s="251"/>
      <c r="AQ35" s="351">
        <v>802</v>
      </c>
      <c r="AR35" s="264" t="s">
        <v>505</v>
      </c>
    </row>
    <row r="36" spans="1:48" s="35" customFormat="1" ht="116" x14ac:dyDescent="0.35">
      <c r="A36" s="291" t="s">
        <v>101</v>
      </c>
      <c r="B36" s="291" t="s">
        <v>101</v>
      </c>
      <c r="C36" s="291"/>
      <c r="D36" s="292" t="s">
        <v>102</v>
      </c>
      <c r="E36" s="292" t="s">
        <v>103</v>
      </c>
      <c r="F36" s="292" t="s">
        <v>104</v>
      </c>
      <c r="G36" s="292" t="s">
        <v>478</v>
      </c>
      <c r="H36" s="292" t="s">
        <v>106</v>
      </c>
      <c r="I36" s="292" t="s">
        <v>115</v>
      </c>
      <c r="J36" s="292" t="s">
        <v>116</v>
      </c>
      <c r="K36" s="292" t="s">
        <v>117</v>
      </c>
      <c r="L36" s="292">
        <v>10</v>
      </c>
      <c r="M36" s="292"/>
      <c r="N36" s="292" t="s">
        <v>111</v>
      </c>
      <c r="O36" s="292" t="s">
        <v>112</v>
      </c>
      <c r="P36" s="276">
        <f t="shared" si="1"/>
        <v>7000</v>
      </c>
      <c r="Q36" s="277">
        <f t="shared" si="2"/>
        <v>0</v>
      </c>
      <c r="R36" s="278">
        <f t="shared" si="3"/>
        <v>7000</v>
      </c>
      <c r="S36" s="278">
        <f t="shared" si="4"/>
        <v>0</v>
      </c>
      <c r="T36" s="278">
        <f t="shared" si="5"/>
        <v>0</v>
      </c>
      <c r="U36" s="279">
        <f t="shared" si="6"/>
        <v>0</v>
      </c>
      <c r="V36" s="373"/>
      <c r="W36" s="288"/>
      <c r="X36" s="296"/>
      <c r="Y36" s="373"/>
      <c r="Z36" s="288"/>
      <c r="AA36" s="297">
        <f>7000</f>
        <v>7000</v>
      </c>
      <c r="AB36" s="279"/>
      <c r="AC36" s="280"/>
      <c r="AD36" s="282"/>
      <c r="AE36" s="281"/>
      <c r="AF36" s="280"/>
      <c r="AG36" s="282"/>
      <c r="AH36" s="281"/>
      <c r="AI36" s="280"/>
      <c r="AJ36" s="280"/>
      <c r="AK36" s="293"/>
      <c r="AL36" s="283"/>
      <c r="AM36" s="293"/>
      <c r="AN36" s="359"/>
      <c r="AO36" s="350"/>
      <c r="AP36" s="251"/>
      <c r="AQ36" s="351"/>
      <c r="AR36" s="388" t="s">
        <v>506</v>
      </c>
    </row>
    <row r="37" spans="1:48" s="35" customFormat="1" ht="101.5" x14ac:dyDescent="0.35">
      <c r="A37" s="291" t="s">
        <v>101</v>
      </c>
      <c r="B37" s="291" t="s">
        <v>101</v>
      </c>
      <c r="C37" s="291"/>
      <c r="D37" s="292" t="s">
        <v>102</v>
      </c>
      <c r="E37" s="292" t="s">
        <v>103</v>
      </c>
      <c r="F37" s="292" t="s">
        <v>119</v>
      </c>
      <c r="G37" s="292" t="s">
        <v>478</v>
      </c>
      <c r="H37" s="292" t="s">
        <v>106</v>
      </c>
      <c r="I37" s="292" t="s">
        <v>120</v>
      </c>
      <c r="J37" s="292" t="s">
        <v>121</v>
      </c>
      <c r="K37" s="292" t="s">
        <v>122</v>
      </c>
      <c r="L37" s="292">
        <v>3</v>
      </c>
      <c r="M37" s="292"/>
      <c r="N37" s="292"/>
      <c r="O37" s="292" t="s">
        <v>112</v>
      </c>
      <c r="P37" s="276">
        <f t="shared" si="1"/>
        <v>30000</v>
      </c>
      <c r="Q37" s="277">
        <f t="shared" si="2"/>
        <v>0</v>
      </c>
      <c r="R37" s="278">
        <f t="shared" si="3"/>
        <v>30000</v>
      </c>
      <c r="S37" s="278">
        <f t="shared" si="4"/>
        <v>0</v>
      </c>
      <c r="T37" s="278">
        <f t="shared" si="5"/>
        <v>0</v>
      </c>
      <c r="U37" s="279">
        <f t="shared" si="6"/>
        <v>0</v>
      </c>
      <c r="V37" s="373"/>
      <c r="W37" s="288"/>
      <c r="X37" s="296"/>
      <c r="Y37" s="373"/>
      <c r="Z37" s="288"/>
      <c r="AA37" s="297">
        <f>30000</f>
        <v>30000</v>
      </c>
      <c r="AB37" s="279"/>
      <c r="AC37" s="280"/>
      <c r="AD37" s="282"/>
      <c r="AE37" s="281"/>
      <c r="AF37" s="280"/>
      <c r="AG37" s="282"/>
      <c r="AH37" s="281"/>
      <c r="AI37" s="280"/>
      <c r="AJ37" s="280"/>
      <c r="AK37" s="293"/>
      <c r="AL37" s="283"/>
      <c r="AM37" s="293"/>
      <c r="AN37" s="359"/>
      <c r="AO37" s="350"/>
      <c r="AP37" s="251"/>
      <c r="AQ37" s="351"/>
      <c r="AR37" s="581" t="s">
        <v>507</v>
      </c>
    </row>
    <row r="38" spans="1:48" s="35" customFormat="1" ht="72.5" x14ac:dyDescent="0.35">
      <c r="A38" s="291" t="s">
        <v>101</v>
      </c>
      <c r="B38" s="291" t="s">
        <v>124</v>
      </c>
      <c r="C38" s="291"/>
      <c r="D38" s="292" t="s">
        <v>125</v>
      </c>
      <c r="E38" s="292" t="s">
        <v>103</v>
      </c>
      <c r="F38" s="292" t="s">
        <v>126</v>
      </c>
      <c r="G38" s="292" t="s">
        <v>7</v>
      </c>
      <c r="H38" s="292" t="s">
        <v>106</v>
      </c>
      <c r="I38" s="292" t="s">
        <v>128</v>
      </c>
      <c r="J38" s="292" t="s">
        <v>129</v>
      </c>
      <c r="K38" s="292" t="s">
        <v>130</v>
      </c>
      <c r="L38" s="292">
        <v>5</v>
      </c>
      <c r="M38" s="292"/>
      <c r="N38" s="292" t="s">
        <v>111</v>
      </c>
      <c r="O38" s="292" t="s">
        <v>112</v>
      </c>
      <c r="P38" s="276">
        <f t="shared" si="1"/>
        <v>25000</v>
      </c>
      <c r="Q38" s="277">
        <f t="shared" si="2"/>
        <v>0</v>
      </c>
      <c r="R38" s="278">
        <f t="shared" si="3"/>
        <v>25000</v>
      </c>
      <c r="S38" s="278">
        <f t="shared" si="4"/>
        <v>0</v>
      </c>
      <c r="T38" s="278">
        <f t="shared" si="5"/>
        <v>0</v>
      </c>
      <c r="U38" s="279">
        <f t="shared" si="6"/>
        <v>0</v>
      </c>
      <c r="V38" s="373"/>
      <c r="W38" s="288"/>
      <c r="X38" s="296"/>
      <c r="Y38" s="373"/>
      <c r="Z38" s="288"/>
      <c r="AA38" s="297">
        <f>SUM(25000)</f>
        <v>25000</v>
      </c>
      <c r="AB38" s="279"/>
      <c r="AC38" s="280"/>
      <c r="AD38" s="282"/>
      <c r="AE38" s="281"/>
      <c r="AF38" s="280"/>
      <c r="AG38" s="282"/>
      <c r="AH38" s="281"/>
      <c r="AI38" s="280"/>
      <c r="AJ38" s="280"/>
      <c r="AK38" s="293"/>
      <c r="AL38" s="283"/>
      <c r="AM38" s="293"/>
      <c r="AN38" s="359"/>
      <c r="AO38" s="350"/>
      <c r="AP38" s="251"/>
      <c r="AQ38" s="351"/>
      <c r="AR38" s="388" t="s">
        <v>508</v>
      </c>
    </row>
    <row r="39" spans="1:48" s="35" customFormat="1" ht="58" x14ac:dyDescent="0.35">
      <c r="A39" s="291" t="s">
        <v>101</v>
      </c>
      <c r="B39" s="291" t="s">
        <v>124</v>
      </c>
      <c r="C39" s="291"/>
      <c r="D39" s="292" t="s">
        <v>125</v>
      </c>
      <c r="E39" s="292" t="s">
        <v>103</v>
      </c>
      <c r="F39" s="292" t="s">
        <v>119</v>
      </c>
      <c r="G39" s="292" t="s">
        <v>478</v>
      </c>
      <c r="H39" s="292" t="s">
        <v>106</v>
      </c>
      <c r="I39" s="292" t="s">
        <v>131</v>
      </c>
      <c r="J39" s="292" t="s">
        <v>132</v>
      </c>
      <c r="K39" s="292" t="s">
        <v>133</v>
      </c>
      <c r="L39" s="292">
        <v>2</v>
      </c>
      <c r="M39" s="292"/>
      <c r="N39" s="292" t="s">
        <v>111</v>
      </c>
      <c r="O39" s="292" t="s">
        <v>112</v>
      </c>
      <c r="P39" s="276">
        <f t="shared" si="1"/>
        <v>1224100</v>
      </c>
      <c r="Q39" s="277">
        <f>SUM(V39:X39)</f>
        <v>223000</v>
      </c>
      <c r="R39" s="278">
        <f>SUM(Y39:AA39)</f>
        <v>233000</v>
      </c>
      <c r="S39" s="278">
        <f t="shared" si="4"/>
        <v>244150</v>
      </c>
      <c r="T39" s="278">
        <f t="shared" si="5"/>
        <v>255800</v>
      </c>
      <c r="U39" s="279">
        <f t="shared" si="6"/>
        <v>268150</v>
      </c>
      <c r="V39" s="373"/>
      <c r="W39" s="288">
        <v>223000</v>
      </c>
      <c r="X39" s="296"/>
      <c r="Y39" s="373"/>
      <c r="Z39" s="288">
        <v>223000</v>
      </c>
      <c r="AA39" s="297">
        <v>10000</v>
      </c>
      <c r="AB39" s="279"/>
      <c r="AC39" s="280">
        <v>234150</v>
      </c>
      <c r="AD39" s="282">
        <v>10000</v>
      </c>
      <c r="AE39" s="281"/>
      <c r="AF39" s="280">
        <v>245800</v>
      </c>
      <c r="AG39" s="282">
        <v>10000</v>
      </c>
      <c r="AH39" s="281"/>
      <c r="AI39" s="280">
        <v>258150</v>
      </c>
      <c r="AJ39" s="280">
        <v>10000</v>
      </c>
      <c r="AK39" s="293"/>
      <c r="AL39" s="283"/>
      <c r="AM39" s="293"/>
      <c r="AN39" s="359"/>
      <c r="AO39" s="350"/>
      <c r="AP39" s="508">
        <v>11926.45</v>
      </c>
      <c r="AQ39" s="351">
        <v>7176</v>
      </c>
      <c r="AR39" s="388" t="s">
        <v>509</v>
      </c>
    </row>
    <row r="40" spans="1:48" s="19" customFormat="1" ht="72.5" x14ac:dyDescent="0.35">
      <c r="A40" s="291" t="s">
        <v>101</v>
      </c>
      <c r="B40" s="291" t="s">
        <v>124</v>
      </c>
      <c r="C40" s="291"/>
      <c r="D40" s="292" t="s">
        <v>125</v>
      </c>
      <c r="E40" s="292" t="s">
        <v>103</v>
      </c>
      <c r="F40" s="292" t="s">
        <v>126</v>
      </c>
      <c r="G40" s="292" t="s">
        <v>7</v>
      </c>
      <c r="H40" s="292" t="s">
        <v>106</v>
      </c>
      <c r="I40" s="292" t="s">
        <v>136</v>
      </c>
      <c r="J40" s="292" t="s">
        <v>137</v>
      </c>
      <c r="K40" s="292" t="s">
        <v>138</v>
      </c>
      <c r="L40" s="292">
        <v>5</v>
      </c>
      <c r="M40" s="292"/>
      <c r="N40" s="292" t="s">
        <v>111</v>
      </c>
      <c r="O40" s="292" t="s">
        <v>112</v>
      </c>
      <c r="P40" s="276">
        <f t="shared" si="1"/>
        <v>5000</v>
      </c>
      <c r="Q40" s="277">
        <f t="shared" si="2"/>
        <v>0</v>
      </c>
      <c r="R40" s="278">
        <f t="shared" si="3"/>
        <v>5000</v>
      </c>
      <c r="S40" s="278">
        <f t="shared" si="4"/>
        <v>0</v>
      </c>
      <c r="T40" s="278">
        <f t="shared" si="5"/>
        <v>0</v>
      </c>
      <c r="U40" s="279">
        <f t="shared" si="6"/>
        <v>0</v>
      </c>
      <c r="V40" s="373"/>
      <c r="W40" s="288"/>
      <c r="X40" s="296"/>
      <c r="Y40" s="373"/>
      <c r="Z40" s="288"/>
      <c r="AA40" s="297">
        <f>SUM(5000)</f>
        <v>5000</v>
      </c>
      <c r="AB40" s="279"/>
      <c r="AC40" s="280"/>
      <c r="AD40" s="282"/>
      <c r="AE40" s="281"/>
      <c r="AF40" s="280"/>
      <c r="AG40" s="282"/>
      <c r="AH40" s="281"/>
      <c r="AI40" s="280"/>
      <c r="AJ40" s="280"/>
      <c r="AK40" s="293"/>
      <c r="AL40" s="283"/>
      <c r="AM40" s="293"/>
      <c r="AN40" s="359"/>
      <c r="AO40" s="350"/>
      <c r="AP40" s="251"/>
      <c r="AQ40" s="351"/>
      <c r="AR40" s="388" t="s">
        <v>510</v>
      </c>
    </row>
    <row r="41" spans="1:48" s="35" customFormat="1" ht="72.5" x14ac:dyDescent="0.35">
      <c r="A41" s="313" t="s">
        <v>101</v>
      </c>
      <c r="B41" s="291" t="s">
        <v>124</v>
      </c>
      <c r="C41" s="291"/>
      <c r="D41" s="292" t="s">
        <v>125</v>
      </c>
      <c r="E41" s="292" t="s">
        <v>103</v>
      </c>
      <c r="F41" s="292" t="s">
        <v>126</v>
      </c>
      <c r="G41" s="292" t="s">
        <v>7</v>
      </c>
      <c r="H41" s="292" t="s">
        <v>106</v>
      </c>
      <c r="I41" s="292" t="s">
        <v>139</v>
      </c>
      <c r="J41" s="292" t="s">
        <v>140</v>
      </c>
      <c r="K41" s="292" t="s">
        <v>141</v>
      </c>
      <c r="L41" s="292">
        <v>4</v>
      </c>
      <c r="M41" s="292"/>
      <c r="N41" s="292" t="s">
        <v>111</v>
      </c>
      <c r="O41" s="292" t="s">
        <v>112</v>
      </c>
      <c r="P41" s="276">
        <f t="shared" si="1"/>
        <v>5000</v>
      </c>
      <c r="Q41" s="277">
        <f t="shared" si="2"/>
        <v>0</v>
      </c>
      <c r="R41" s="278">
        <f t="shared" si="3"/>
        <v>5000</v>
      </c>
      <c r="S41" s="278">
        <f t="shared" si="4"/>
        <v>0</v>
      </c>
      <c r="T41" s="278">
        <f t="shared" si="5"/>
        <v>0</v>
      </c>
      <c r="U41" s="279">
        <f t="shared" si="6"/>
        <v>0</v>
      </c>
      <c r="V41" s="373"/>
      <c r="W41" s="288"/>
      <c r="X41" s="296"/>
      <c r="Y41" s="373"/>
      <c r="Z41" s="288"/>
      <c r="AA41" s="297">
        <f>SUM(5000)</f>
        <v>5000</v>
      </c>
      <c r="AB41" s="279"/>
      <c r="AC41" s="280"/>
      <c r="AD41" s="282"/>
      <c r="AE41" s="281"/>
      <c r="AF41" s="280"/>
      <c r="AG41" s="282"/>
      <c r="AH41" s="281"/>
      <c r="AI41" s="280"/>
      <c r="AJ41" s="280"/>
      <c r="AK41" s="293"/>
      <c r="AL41" s="283"/>
      <c r="AM41" s="293"/>
      <c r="AN41" s="359"/>
      <c r="AO41" s="350"/>
      <c r="AP41" s="251"/>
      <c r="AQ41" s="351"/>
      <c r="AR41" s="388" t="s">
        <v>511</v>
      </c>
    </row>
    <row r="42" spans="1:48" s="35" customFormat="1" ht="87" x14ac:dyDescent="0.35">
      <c r="A42" s="313" t="s">
        <v>101</v>
      </c>
      <c r="B42" s="291" t="s">
        <v>124</v>
      </c>
      <c r="C42" s="291"/>
      <c r="D42" s="292" t="s">
        <v>125</v>
      </c>
      <c r="E42" s="292" t="s">
        <v>103</v>
      </c>
      <c r="F42" s="292" t="s">
        <v>126</v>
      </c>
      <c r="G42" s="292" t="s">
        <v>7</v>
      </c>
      <c r="H42" s="292" t="s">
        <v>106</v>
      </c>
      <c r="I42" s="292" t="s">
        <v>142</v>
      </c>
      <c r="J42" s="292" t="s">
        <v>143</v>
      </c>
      <c r="K42" s="292" t="s">
        <v>144</v>
      </c>
      <c r="L42" s="292">
        <v>7</v>
      </c>
      <c r="M42" s="292"/>
      <c r="N42" s="292" t="s">
        <v>111</v>
      </c>
      <c r="O42" s="292" t="s">
        <v>112</v>
      </c>
      <c r="P42" s="276">
        <f t="shared" si="1"/>
        <v>10000</v>
      </c>
      <c r="Q42" s="277">
        <f t="shared" si="2"/>
        <v>0</v>
      </c>
      <c r="R42" s="278">
        <f t="shared" si="3"/>
        <v>10000</v>
      </c>
      <c r="S42" s="278">
        <f t="shared" si="4"/>
        <v>0</v>
      </c>
      <c r="T42" s="278">
        <f t="shared" si="5"/>
        <v>0</v>
      </c>
      <c r="U42" s="279">
        <f t="shared" si="6"/>
        <v>0</v>
      </c>
      <c r="V42" s="373"/>
      <c r="W42" s="288"/>
      <c r="X42" s="296"/>
      <c r="Y42" s="373"/>
      <c r="Z42" s="288"/>
      <c r="AA42" s="297">
        <f>SUM(10000)</f>
        <v>10000</v>
      </c>
      <c r="AB42" s="279"/>
      <c r="AC42" s="280"/>
      <c r="AD42" s="282"/>
      <c r="AE42" s="281"/>
      <c r="AF42" s="280"/>
      <c r="AG42" s="282"/>
      <c r="AH42" s="281"/>
      <c r="AI42" s="280"/>
      <c r="AJ42" s="280"/>
      <c r="AK42" s="293"/>
      <c r="AL42" s="283"/>
      <c r="AM42" s="293"/>
      <c r="AN42" s="359"/>
      <c r="AO42" s="350"/>
      <c r="AP42" s="251"/>
      <c r="AQ42" s="351"/>
      <c r="AR42" s="388" t="s">
        <v>512</v>
      </c>
    </row>
    <row r="43" spans="1:48" s="35" customFormat="1" ht="72.5" x14ac:dyDescent="0.35">
      <c r="A43" s="313" t="s">
        <v>101</v>
      </c>
      <c r="B43" s="291" t="s">
        <v>145</v>
      </c>
      <c r="C43" s="291"/>
      <c r="D43" s="292" t="s">
        <v>146</v>
      </c>
      <c r="E43" s="292" t="s">
        <v>103</v>
      </c>
      <c r="F43" s="292" t="s">
        <v>126</v>
      </c>
      <c r="G43" s="292" t="s">
        <v>7</v>
      </c>
      <c r="H43" s="292" t="s">
        <v>106</v>
      </c>
      <c r="I43" s="292" t="s">
        <v>147</v>
      </c>
      <c r="J43" s="292" t="s">
        <v>148</v>
      </c>
      <c r="K43" s="292" t="s">
        <v>149</v>
      </c>
      <c r="L43" s="292">
        <v>8</v>
      </c>
      <c r="M43" s="292"/>
      <c r="N43" s="292" t="s">
        <v>111</v>
      </c>
      <c r="O43" s="292" t="s">
        <v>112</v>
      </c>
      <c r="P43" s="276">
        <f t="shared" si="1"/>
        <v>60000</v>
      </c>
      <c r="Q43" s="277">
        <f t="shared" si="2"/>
        <v>0</v>
      </c>
      <c r="R43" s="278">
        <f t="shared" si="3"/>
        <v>60000</v>
      </c>
      <c r="S43" s="278">
        <f t="shared" si="4"/>
        <v>0</v>
      </c>
      <c r="T43" s="278">
        <f t="shared" si="5"/>
        <v>0</v>
      </c>
      <c r="U43" s="279">
        <f t="shared" si="6"/>
        <v>0</v>
      </c>
      <c r="V43" s="373"/>
      <c r="W43" s="288"/>
      <c r="X43" s="296"/>
      <c r="Y43" s="373">
        <f>SUM(60000)</f>
        <v>60000</v>
      </c>
      <c r="Z43" s="288"/>
      <c r="AA43" s="297"/>
      <c r="AB43" s="279"/>
      <c r="AC43" s="280"/>
      <c r="AD43" s="282"/>
      <c r="AE43" s="281"/>
      <c r="AF43" s="280"/>
      <c r="AG43" s="282"/>
      <c r="AH43" s="281"/>
      <c r="AI43" s="280"/>
      <c r="AJ43" s="280"/>
      <c r="AK43" s="293"/>
      <c r="AL43" s="283"/>
      <c r="AM43" s="293"/>
      <c r="AN43" s="359"/>
      <c r="AO43" s="350"/>
      <c r="AP43" s="251"/>
      <c r="AQ43" s="351"/>
      <c r="AR43" s="388" t="s">
        <v>513</v>
      </c>
    </row>
    <row r="44" spans="1:48" s="35" customFormat="1" ht="145" x14ac:dyDescent="0.35">
      <c r="A44" s="313" t="s">
        <v>101</v>
      </c>
      <c r="B44" s="291" t="s">
        <v>101</v>
      </c>
      <c r="C44" s="291"/>
      <c r="D44" s="292" t="s">
        <v>102</v>
      </c>
      <c r="E44" s="292" t="s">
        <v>103</v>
      </c>
      <c r="F44" s="292" t="s">
        <v>104</v>
      </c>
      <c r="G44" s="292" t="s">
        <v>478</v>
      </c>
      <c r="H44" s="292" t="s">
        <v>106</v>
      </c>
      <c r="I44" s="292" t="s">
        <v>151</v>
      </c>
      <c r="J44" s="292" t="s">
        <v>152</v>
      </c>
      <c r="K44" s="292" t="s">
        <v>153</v>
      </c>
      <c r="L44" s="292">
        <v>1</v>
      </c>
      <c r="M44" s="292"/>
      <c r="N44" s="292" t="s">
        <v>111</v>
      </c>
      <c r="O44" s="292" t="s">
        <v>112</v>
      </c>
      <c r="P44" s="276">
        <f t="shared" si="1"/>
        <v>863148</v>
      </c>
      <c r="Q44" s="277">
        <f t="shared" si="2"/>
        <v>4148</v>
      </c>
      <c r="R44" s="278">
        <f t="shared" si="3"/>
        <v>231000</v>
      </c>
      <c r="S44" s="278">
        <f t="shared" si="4"/>
        <v>308000</v>
      </c>
      <c r="T44" s="278">
        <f t="shared" si="5"/>
        <v>320000</v>
      </c>
      <c r="U44" s="279">
        <f t="shared" si="6"/>
        <v>0</v>
      </c>
      <c r="V44" s="373"/>
      <c r="W44" s="288">
        <v>4148</v>
      </c>
      <c r="X44" s="296"/>
      <c r="Y44" s="373"/>
      <c r="Z44" s="288">
        <v>216000</v>
      </c>
      <c r="AA44" s="297">
        <f>15000</f>
        <v>15000</v>
      </c>
      <c r="AB44" s="279"/>
      <c r="AC44" s="280">
        <v>288000</v>
      </c>
      <c r="AD44" s="282">
        <f>20000</f>
        <v>20000</v>
      </c>
      <c r="AE44" s="281"/>
      <c r="AF44" s="280">
        <v>300000</v>
      </c>
      <c r="AG44" s="282">
        <f>20000</f>
        <v>20000</v>
      </c>
      <c r="AH44" s="281"/>
      <c r="AI44" s="280"/>
      <c r="AJ44" s="280"/>
      <c r="AK44" s="293"/>
      <c r="AL44" s="283"/>
      <c r="AM44" s="293"/>
      <c r="AN44" s="359"/>
      <c r="AO44" s="350"/>
      <c r="AP44" s="251"/>
      <c r="AQ44" s="351">
        <v>4148</v>
      </c>
      <c r="AR44" s="388" t="s">
        <v>514</v>
      </c>
    </row>
    <row r="45" spans="1:48" s="35" customFormat="1" ht="72.5" x14ac:dyDescent="0.35">
      <c r="A45" s="313" t="s">
        <v>101</v>
      </c>
      <c r="B45" s="291" t="s">
        <v>145</v>
      </c>
      <c r="C45" s="291"/>
      <c r="D45" s="292" t="s">
        <v>146</v>
      </c>
      <c r="E45" s="292" t="s">
        <v>103</v>
      </c>
      <c r="F45" s="292" t="s">
        <v>104</v>
      </c>
      <c r="G45" s="292" t="s">
        <v>7</v>
      </c>
      <c r="H45" s="292" t="s">
        <v>106</v>
      </c>
      <c r="I45" s="292" t="s">
        <v>156</v>
      </c>
      <c r="J45" s="292" t="s">
        <v>157</v>
      </c>
      <c r="K45" s="292" t="s">
        <v>158</v>
      </c>
      <c r="L45" s="292"/>
      <c r="M45" s="292"/>
      <c r="N45" s="292" t="s">
        <v>111</v>
      </c>
      <c r="O45" s="292" t="s">
        <v>112</v>
      </c>
      <c r="P45" s="276">
        <f t="shared" si="1"/>
        <v>120000</v>
      </c>
      <c r="Q45" s="277">
        <f t="shared" si="2"/>
        <v>0</v>
      </c>
      <c r="R45" s="278">
        <f t="shared" si="3"/>
        <v>120000</v>
      </c>
      <c r="S45" s="278">
        <f t="shared" si="4"/>
        <v>0</v>
      </c>
      <c r="T45" s="278">
        <f t="shared" si="5"/>
        <v>0</v>
      </c>
      <c r="U45" s="279">
        <f t="shared" si="6"/>
        <v>0</v>
      </c>
      <c r="V45" s="373"/>
      <c r="W45" s="288"/>
      <c r="X45" s="296"/>
      <c r="Y45" s="373"/>
      <c r="Z45" s="288"/>
      <c r="AA45" s="297">
        <f>SUM(120000)</f>
        <v>120000</v>
      </c>
      <c r="AB45" s="279"/>
      <c r="AC45" s="280"/>
      <c r="AD45" s="282"/>
      <c r="AE45" s="281"/>
      <c r="AF45" s="280"/>
      <c r="AG45" s="282"/>
      <c r="AH45" s="281"/>
      <c r="AI45" s="280"/>
      <c r="AJ45" s="280"/>
      <c r="AK45" s="293"/>
      <c r="AL45" s="283"/>
      <c r="AM45" s="293"/>
      <c r="AN45" s="359"/>
      <c r="AO45" s="350"/>
      <c r="AP45" s="251"/>
      <c r="AQ45" s="351"/>
      <c r="AR45" s="388" t="s">
        <v>515</v>
      </c>
    </row>
    <row r="46" spans="1:48" s="19" customFormat="1" ht="72.5" x14ac:dyDescent="0.35">
      <c r="A46" s="313" t="s">
        <v>101</v>
      </c>
      <c r="B46" s="291" t="s">
        <v>145</v>
      </c>
      <c r="C46" s="291"/>
      <c r="D46" s="292" t="s">
        <v>146</v>
      </c>
      <c r="E46" s="292" t="s">
        <v>103</v>
      </c>
      <c r="F46" s="292" t="s">
        <v>104</v>
      </c>
      <c r="G46" s="292" t="s">
        <v>7</v>
      </c>
      <c r="H46" s="292" t="s">
        <v>160</v>
      </c>
      <c r="I46" s="292" t="s">
        <v>156</v>
      </c>
      <c r="J46" s="292" t="s">
        <v>161</v>
      </c>
      <c r="K46" s="292" t="s">
        <v>162</v>
      </c>
      <c r="L46" s="292"/>
      <c r="M46" s="292"/>
      <c r="N46" s="292" t="s">
        <v>111</v>
      </c>
      <c r="O46" s="292" t="s">
        <v>112</v>
      </c>
      <c r="P46" s="276">
        <f t="shared" si="1"/>
        <v>280000</v>
      </c>
      <c r="Q46" s="277">
        <f t="shared" si="2"/>
        <v>0</v>
      </c>
      <c r="R46" s="278">
        <f t="shared" si="3"/>
        <v>200000</v>
      </c>
      <c r="S46" s="278">
        <f t="shared" si="4"/>
        <v>80000</v>
      </c>
      <c r="T46" s="278">
        <f t="shared" si="5"/>
        <v>0</v>
      </c>
      <c r="U46" s="279">
        <f t="shared" si="6"/>
        <v>0</v>
      </c>
      <c r="V46" s="373"/>
      <c r="W46" s="288"/>
      <c r="X46" s="296"/>
      <c r="Y46" s="373">
        <f>SUM(200000)</f>
        <v>200000</v>
      </c>
      <c r="Z46" s="288"/>
      <c r="AA46" s="297"/>
      <c r="AB46" s="279">
        <f>SUM(80000)</f>
        <v>80000</v>
      </c>
      <c r="AC46" s="280"/>
      <c r="AD46" s="282"/>
      <c r="AE46" s="281"/>
      <c r="AF46" s="280"/>
      <c r="AG46" s="282"/>
      <c r="AH46" s="281"/>
      <c r="AI46" s="280"/>
      <c r="AJ46" s="280"/>
      <c r="AK46" s="293"/>
      <c r="AL46" s="283"/>
      <c r="AM46" s="293"/>
      <c r="AN46" s="359"/>
      <c r="AO46" s="350"/>
      <c r="AP46" s="251"/>
      <c r="AQ46" s="351"/>
      <c r="AR46" s="388" t="s">
        <v>516</v>
      </c>
    </row>
    <row r="47" spans="1:48" s="19" customFormat="1" ht="72.5" x14ac:dyDescent="0.35">
      <c r="A47" s="313" t="s">
        <v>101</v>
      </c>
      <c r="B47" s="291" t="s">
        <v>124</v>
      </c>
      <c r="C47" s="291"/>
      <c r="D47" s="292" t="s">
        <v>125</v>
      </c>
      <c r="E47" s="292" t="s">
        <v>103</v>
      </c>
      <c r="F47" s="292" t="s">
        <v>104</v>
      </c>
      <c r="G47" s="292" t="s">
        <v>7</v>
      </c>
      <c r="H47" s="292" t="s">
        <v>106</v>
      </c>
      <c r="I47" s="292" t="s">
        <v>156</v>
      </c>
      <c r="J47" s="292" t="s">
        <v>164</v>
      </c>
      <c r="K47" s="292" t="s">
        <v>165</v>
      </c>
      <c r="L47" s="292"/>
      <c r="M47" s="292"/>
      <c r="N47" s="292" t="s">
        <v>111</v>
      </c>
      <c r="O47" s="292" t="s">
        <v>112</v>
      </c>
      <c r="P47" s="276">
        <f t="shared" si="1"/>
        <v>254500</v>
      </c>
      <c r="Q47" s="277">
        <f t="shared" si="2"/>
        <v>0</v>
      </c>
      <c r="R47" s="278">
        <f t="shared" si="3"/>
        <v>57500</v>
      </c>
      <c r="S47" s="278">
        <f t="shared" si="4"/>
        <v>60400</v>
      </c>
      <c r="T47" s="278">
        <f t="shared" si="5"/>
        <v>66500</v>
      </c>
      <c r="U47" s="279">
        <f t="shared" si="6"/>
        <v>70100</v>
      </c>
      <c r="V47" s="373"/>
      <c r="W47" s="288">
        <v>0</v>
      </c>
      <c r="X47" s="296"/>
      <c r="Y47" s="373"/>
      <c r="Z47" s="288">
        <v>57500</v>
      </c>
      <c r="AA47" s="297"/>
      <c r="AB47" s="279"/>
      <c r="AC47" s="280">
        <v>60400</v>
      </c>
      <c r="AD47" s="282"/>
      <c r="AE47" s="281"/>
      <c r="AF47" s="280">
        <v>66500</v>
      </c>
      <c r="AG47" s="282"/>
      <c r="AH47" s="281"/>
      <c r="AI47" s="280">
        <v>70100</v>
      </c>
      <c r="AJ47" s="280"/>
      <c r="AK47" s="293"/>
      <c r="AL47" s="283"/>
      <c r="AM47" s="293"/>
      <c r="AN47" s="359"/>
      <c r="AO47" s="350"/>
      <c r="AP47" s="251"/>
      <c r="AQ47" s="351"/>
      <c r="AR47" s="388" t="s">
        <v>517</v>
      </c>
    </row>
    <row r="48" spans="1:48" s="35" customFormat="1" ht="72.5" x14ac:dyDescent="0.35">
      <c r="A48" s="313" t="s">
        <v>101</v>
      </c>
      <c r="B48" s="291" t="s">
        <v>145</v>
      </c>
      <c r="C48" s="291"/>
      <c r="D48" s="292" t="s">
        <v>167</v>
      </c>
      <c r="E48" s="292" t="s">
        <v>103</v>
      </c>
      <c r="F48" s="292" t="s">
        <v>104</v>
      </c>
      <c r="G48" s="292" t="s">
        <v>10</v>
      </c>
      <c r="H48" s="292" t="s">
        <v>106</v>
      </c>
      <c r="I48" s="292" t="s">
        <v>156</v>
      </c>
      <c r="J48" s="292" t="s">
        <v>169</v>
      </c>
      <c r="K48" s="292" t="s">
        <v>170</v>
      </c>
      <c r="L48" s="292"/>
      <c r="M48" s="292"/>
      <c r="N48" s="292" t="s">
        <v>111</v>
      </c>
      <c r="O48" s="292" t="s">
        <v>112</v>
      </c>
      <c r="P48" s="276">
        <f t="shared" si="1"/>
        <v>646300</v>
      </c>
      <c r="Q48" s="277">
        <f t="shared" si="2"/>
        <v>0</v>
      </c>
      <c r="R48" s="278">
        <f t="shared" si="3"/>
        <v>150000</v>
      </c>
      <c r="S48" s="278">
        <f t="shared" si="4"/>
        <v>157500</v>
      </c>
      <c r="T48" s="278">
        <f t="shared" si="5"/>
        <v>165300</v>
      </c>
      <c r="U48" s="279">
        <f t="shared" si="6"/>
        <v>173500</v>
      </c>
      <c r="V48" s="373"/>
      <c r="W48" s="288"/>
      <c r="X48" s="296"/>
      <c r="Y48" s="373">
        <f>SUM(150000)</f>
        <v>150000</v>
      </c>
      <c r="Z48" s="288"/>
      <c r="AA48" s="297"/>
      <c r="AB48" s="279">
        <f>SUM(157500)</f>
        <v>157500</v>
      </c>
      <c r="AC48" s="280"/>
      <c r="AD48" s="282"/>
      <c r="AE48" s="281">
        <f>SUM(165300)</f>
        <v>165300</v>
      </c>
      <c r="AF48" s="280"/>
      <c r="AG48" s="282"/>
      <c r="AH48" s="281">
        <f>SUM(173500)</f>
        <v>173500</v>
      </c>
      <c r="AI48" s="280"/>
      <c r="AJ48" s="280"/>
      <c r="AK48" s="293"/>
      <c r="AL48" s="283"/>
      <c r="AM48" s="293"/>
      <c r="AN48" s="359"/>
      <c r="AO48" s="350"/>
      <c r="AP48" s="251"/>
      <c r="AQ48" s="351"/>
      <c r="AR48" s="388" t="s">
        <v>518</v>
      </c>
    </row>
    <row r="49" spans="1:44" s="19" customFormat="1" ht="72.5" x14ac:dyDescent="0.35">
      <c r="A49" s="313" t="s">
        <v>101</v>
      </c>
      <c r="B49" s="291" t="s">
        <v>124</v>
      </c>
      <c r="C49" s="291"/>
      <c r="D49" s="292" t="s">
        <v>125</v>
      </c>
      <c r="E49" s="292" t="s">
        <v>103</v>
      </c>
      <c r="F49" s="292" t="s">
        <v>126</v>
      </c>
      <c r="G49" s="292" t="s">
        <v>7</v>
      </c>
      <c r="H49" s="292" t="s">
        <v>106</v>
      </c>
      <c r="I49" s="292" t="s">
        <v>156</v>
      </c>
      <c r="J49" s="292" t="s">
        <v>174</v>
      </c>
      <c r="K49" s="292" t="s">
        <v>175</v>
      </c>
      <c r="L49" s="292"/>
      <c r="M49" s="292"/>
      <c r="N49" s="292" t="s">
        <v>111</v>
      </c>
      <c r="O49" s="292" t="s">
        <v>112</v>
      </c>
      <c r="P49" s="276">
        <f t="shared" si="1"/>
        <v>232000</v>
      </c>
      <c r="Q49" s="277">
        <f t="shared" si="2"/>
        <v>0</v>
      </c>
      <c r="R49" s="278">
        <f t="shared" si="3"/>
        <v>58000</v>
      </c>
      <c r="S49" s="278">
        <f t="shared" si="4"/>
        <v>58000</v>
      </c>
      <c r="T49" s="278">
        <f t="shared" si="5"/>
        <v>58000</v>
      </c>
      <c r="U49" s="279">
        <f t="shared" si="6"/>
        <v>58000</v>
      </c>
      <c r="V49" s="373"/>
      <c r="W49" s="288"/>
      <c r="X49" s="296"/>
      <c r="Y49" s="373"/>
      <c r="Z49" s="288">
        <v>58000</v>
      </c>
      <c r="AA49" s="297"/>
      <c r="AB49" s="279"/>
      <c r="AC49" s="280">
        <v>58000</v>
      </c>
      <c r="AD49" s="282"/>
      <c r="AE49" s="281"/>
      <c r="AF49" s="280">
        <v>58000</v>
      </c>
      <c r="AG49" s="282"/>
      <c r="AH49" s="281"/>
      <c r="AI49" s="280">
        <v>58000</v>
      </c>
      <c r="AJ49" s="280"/>
      <c r="AK49" s="293"/>
      <c r="AL49" s="283"/>
      <c r="AM49" s="293"/>
      <c r="AN49" s="359"/>
      <c r="AO49" s="350"/>
      <c r="AP49" s="251"/>
      <c r="AQ49" s="351"/>
      <c r="AR49" s="388" t="s">
        <v>519</v>
      </c>
    </row>
    <row r="50" spans="1:44" s="35" customFormat="1" ht="72.5" x14ac:dyDescent="0.35">
      <c r="A50" s="313" t="s">
        <v>101</v>
      </c>
      <c r="B50" s="291" t="s">
        <v>178</v>
      </c>
      <c r="C50" s="291"/>
      <c r="D50" s="292" t="s">
        <v>167</v>
      </c>
      <c r="E50" s="292" t="s">
        <v>103</v>
      </c>
      <c r="F50" s="292" t="s">
        <v>104</v>
      </c>
      <c r="G50" s="292" t="s">
        <v>10</v>
      </c>
      <c r="H50" s="292" t="s">
        <v>106</v>
      </c>
      <c r="I50" s="292" t="s">
        <v>156</v>
      </c>
      <c r="J50" s="292" t="s">
        <v>179</v>
      </c>
      <c r="K50" s="292" t="s">
        <v>180</v>
      </c>
      <c r="L50" s="292"/>
      <c r="M50" s="292"/>
      <c r="N50" s="292" t="s">
        <v>111</v>
      </c>
      <c r="O50" s="292" t="s">
        <v>112</v>
      </c>
      <c r="P50" s="276">
        <f t="shared" si="1"/>
        <v>200000</v>
      </c>
      <c r="Q50" s="277">
        <f t="shared" si="2"/>
        <v>0</v>
      </c>
      <c r="R50" s="278">
        <f t="shared" si="3"/>
        <v>50000</v>
      </c>
      <c r="S50" s="278">
        <f t="shared" si="4"/>
        <v>50000</v>
      </c>
      <c r="T50" s="278">
        <f t="shared" si="5"/>
        <v>50000</v>
      </c>
      <c r="U50" s="279">
        <f t="shared" si="6"/>
        <v>50000</v>
      </c>
      <c r="V50" s="373"/>
      <c r="W50" s="288"/>
      <c r="X50" s="296"/>
      <c r="Y50" s="373"/>
      <c r="Z50" s="288"/>
      <c r="AA50" s="297">
        <f>SUM(50000)</f>
        <v>50000</v>
      </c>
      <c r="AB50" s="279"/>
      <c r="AC50" s="280"/>
      <c r="AD50" s="282">
        <f>SUM(50000)</f>
        <v>50000</v>
      </c>
      <c r="AE50" s="281"/>
      <c r="AF50" s="280"/>
      <c r="AG50" s="282">
        <f>SUM(50000)</f>
        <v>50000</v>
      </c>
      <c r="AH50" s="281"/>
      <c r="AI50" s="280"/>
      <c r="AJ50" s="280">
        <f>SUM(50000)</f>
        <v>50000</v>
      </c>
      <c r="AK50" s="293"/>
      <c r="AL50" s="283"/>
      <c r="AM50" s="293"/>
      <c r="AN50" s="359"/>
      <c r="AO50" s="350"/>
      <c r="AP50" s="251"/>
      <c r="AQ50" s="351"/>
      <c r="AR50" s="388" t="s">
        <v>520</v>
      </c>
    </row>
    <row r="51" spans="1:44" s="35" customFormat="1" ht="15.5" x14ac:dyDescent="0.35">
      <c r="A51" s="313"/>
      <c r="B51" s="291"/>
      <c r="C51" s="291"/>
      <c r="D51" s="292"/>
      <c r="E51" s="292"/>
      <c r="F51" s="292"/>
      <c r="G51" s="292"/>
      <c r="H51" s="292"/>
      <c r="I51" s="292"/>
      <c r="J51" s="292"/>
      <c r="K51" s="292"/>
      <c r="L51" s="292"/>
      <c r="M51" s="292"/>
      <c r="N51" s="292"/>
      <c r="O51" s="292"/>
      <c r="P51" s="276">
        <f t="shared" si="1"/>
        <v>0</v>
      </c>
      <c r="Q51" s="277">
        <f t="shared" si="2"/>
        <v>0</v>
      </c>
      <c r="R51" s="278">
        <f t="shared" si="3"/>
        <v>0</v>
      </c>
      <c r="S51" s="278">
        <f t="shared" si="4"/>
        <v>0</v>
      </c>
      <c r="T51" s="278">
        <f t="shared" si="5"/>
        <v>0</v>
      </c>
      <c r="U51" s="279">
        <f t="shared" si="6"/>
        <v>0</v>
      </c>
      <c r="V51" s="373"/>
      <c r="W51" s="288"/>
      <c r="X51" s="296"/>
      <c r="Y51" s="373"/>
      <c r="Z51" s="288"/>
      <c r="AA51" s="297"/>
      <c r="AB51" s="279"/>
      <c r="AC51" s="280"/>
      <c r="AD51" s="282"/>
      <c r="AE51" s="281"/>
      <c r="AF51" s="280"/>
      <c r="AG51" s="282"/>
      <c r="AH51" s="281"/>
      <c r="AI51" s="280"/>
      <c r="AJ51" s="280"/>
      <c r="AK51" s="293"/>
      <c r="AL51" s="283"/>
      <c r="AM51" s="293"/>
      <c r="AN51" s="359"/>
      <c r="AO51" s="350"/>
      <c r="AP51" s="251"/>
      <c r="AQ51" s="351"/>
      <c r="AR51" s="388"/>
    </row>
    <row r="52" spans="1:44" s="35" customFormat="1" ht="15.5" x14ac:dyDescent="0.35">
      <c r="A52" s="313"/>
      <c r="B52" s="291"/>
      <c r="C52" s="291"/>
      <c r="D52" s="292"/>
      <c r="E52" s="292"/>
      <c r="F52" s="292"/>
      <c r="G52" s="292"/>
      <c r="H52" s="292"/>
      <c r="I52" s="292"/>
      <c r="J52" s="292"/>
      <c r="K52" s="292"/>
      <c r="L52" s="292"/>
      <c r="M52" s="292"/>
      <c r="N52" s="292"/>
      <c r="O52" s="292"/>
      <c r="P52" s="276">
        <f t="shared" si="1"/>
        <v>0</v>
      </c>
      <c r="Q52" s="277">
        <f t="shared" si="2"/>
        <v>0</v>
      </c>
      <c r="R52" s="278">
        <f t="shared" si="3"/>
        <v>0</v>
      </c>
      <c r="S52" s="278">
        <f t="shared" si="4"/>
        <v>0</v>
      </c>
      <c r="T52" s="278">
        <f t="shared" si="5"/>
        <v>0</v>
      </c>
      <c r="U52" s="279">
        <f t="shared" si="6"/>
        <v>0</v>
      </c>
      <c r="V52" s="373"/>
      <c r="W52" s="288"/>
      <c r="X52" s="296"/>
      <c r="Y52" s="373"/>
      <c r="Z52" s="288"/>
      <c r="AA52" s="297"/>
      <c r="AB52" s="279"/>
      <c r="AC52" s="280"/>
      <c r="AD52" s="282"/>
      <c r="AE52" s="281"/>
      <c r="AF52" s="280"/>
      <c r="AG52" s="282"/>
      <c r="AH52" s="281"/>
      <c r="AI52" s="280"/>
      <c r="AJ52" s="280"/>
      <c r="AK52" s="293"/>
      <c r="AL52" s="283"/>
      <c r="AM52" s="293"/>
      <c r="AN52" s="359"/>
      <c r="AO52" s="350"/>
      <c r="AP52" s="251"/>
      <c r="AQ52" s="351"/>
      <c r="AR52" s="388"/>
    </row>
    <row r="53" spans="1:44" s="19" customFormat="1" ht="15.5" x14ac:dyDescent="0.35">
      <c r="A53" s="313"/>
      <c r="B53" s="291"/>
      <c r="C53" s="291"/>
      <c r="D53" s="292"/>
      <c r="E53" s="292"/>
      <c r="F53" s="292"/>
      <c r="G53" s="292"/>
      <c r="H53" s="292"/>
      <c r="I53" s="292"/>
      <c r="J53" s="292"/>
      <c r="K53" s="292"/>
      <c r="L53" s="292"/>
      <c r="M53" s="292"/>
      <c r="N53" s="292"/>
      <c r="O53" s="292"/>
      <c r="P53" s="276">
        <f t="shared" si="1"/>
        <v>0</v>
      </c>
      <c r="Q53" s="277">
        <f t="shared" si="2"/>
        <v>0</v>
      </c>
      <c r="R53" s="278">
        <f t="shared" si="3"/>
        <v>0</v>
      </c>
      <c r="S53" s="278">
        <f t="shared" si="4"/>
        <v>0</v>
      </c>
      <c r="T53" s="278">
        <f t="shared" si="5"/>
        <v>0</v>
      </c>
      <c r="U53" s="279">
        <f t="shared" si="6"/>
        <v>0</v>
      </c>
      <c r="V53" s="373"/>
      <c r="W53" s="288"/>
      <c r="X53" s="296"/>
      <c r="Y53" s="373"/>
      <c r="Z53" s="288"/>
      <c r="AA53" s="297"/>
      <c r="AB53" s="279"/>
      <c r="AC53" s="280"/>
      <c r="AD53" s="282"/>
      <c r="AE53" s="281"/>
      <c r="AF53" s="280"/>
      <c r="AG53" s="282"/>
      <c r="AH53" s="281"/>
      <c r="AI53" s="280"/>
      <c r="AJ53" s="280"/>
      <c r="AK53" s="293"/>
      <c r="AL53" s="283"/>
      <c r="AM53" s="293"/>
      <c r="AN53" s="359"/>
      <c r="AO53" s="350"/>
      <c r="AP53" s="251"/>
      <c r="AQ53" s="351"/>
      <c r="AR53" s="388"/>
    </row>
    <row r="54" spans="1:44" s="35" customFormat="1" ht="15.5" x14ac:dyDescent="0.35">
      <c r="A54" s="313"/>
      <c r="B54" s="291"/>
      <c r="C54" s="291"/>
      <c r="D54" s="292"/>
      <c r="E54" s="292"/>
      <c r="F54" s="292"/>
      <c r="G54" s="292"/>
      <c r="H54" s="292"/>
      <c r="I54" s="292"/>
      <c r="J54" s="292"/>
      <c r="K54" s="292"/>
      <c r="L54" s="292"/>
      <c r="M54" s="292"/>
      <c r="N54" s="292"/>
      <c r="O54" s="292"/>
      <c r="P54" s="276">
        <f t="shared" si="1"/>
        <v>0</v>
      </c>
      <c r="Q54" s="277">
        <f t="shared" si="2"/>
        <v>0</v>
      </c>
      <c r="R54" s="278">
        <f t="shared" si="3"/>
        <v>0</v>
      </c>
      <c r="S54" s="278">
        <f t="shared" si="4"/>
        <v>0</v>
      </c>
      <c r="T54" s="278">
        <f t="shared" si="5"/>
        <v>0</v>
      </c>
      <c r="U54" s="279">
        <f t="shared" si="6"/>
        <v>0</v>
      </c>
      <c r="V54" s="373"/>
      <c r="W54" s="288"/>
      <c r="X54" s="296"/>
      <c r="Y54" s="373"/>
      <c r="Z54" s="288"/>
      <c r="AA54" s="297"/>
      <c r="AB54" s="279"/>
      <c r="AC54" s="280"/>
      <c r="AD54" s="282"/>
      <c r="AE54" s="281"/>
      <c r="AF54" s="280"/>
      <c r="AG54" s="282"/>
      <c r="AH54" s="281"/>
      <c r="AI54" s="280"/>
      <c r="AJ54" s="280"/>
      <c r="AK54" s="293"/>
      <c r="AL54" s="283"/>
      <c r="AM54" s="293"/>
      <c r="AN54" s="359"/>
      <c r="AO54" s="350"/>
      <c r="AP54" s="251"/>
      <c r="AQ54" s="351"/>
      <c r="AR54" s="388"/>
    </row>
    <row r="55" spans="1:44" s="35" customFormat="1" ht="15.5" x14ac:dyDescent="0.35">
      <c r="A55" s="313"/>
      <c r="B55" s="291"/>
      <c r="C55" s="291"/>
      <c r="D55" s="292"/>
      <c r="E55" s="292"/>
      <c r="F55" s="292"/>
      <c r="G55" s="292"/>
      <c r="H55" s="292"/>
      <c r="I55" s="292"/>
      <c r="J55" s="292"/>
      <c r="K55" s="292"/>
      <c r="L55" s="292"/>
      <c r="M55" s="292"/>
      <c r="N55" s="292"/>
      <c r="O55" s="292"/>
      <c r="P55" s="276">
        <f t="shared" si="1"/>
        <v>0</v>
      </c>
      <c r="Q55" s="277">
        <f t="shared" si="2"/>
        <v>0</v>
      </c>
      <c r="R55" s="278">
        <f t="shared" si="3"/>
        <v>0</v>
      </c>
      <c r="S55" s="278">
        <f t="shared" si="4"/>
        <v>0</v>
      </c>
      <c r="T55" s="278">
        <f t="shared" si="5"/>
        <v>0</v>
      </c>
      <c r="U55" s="279">
        <f t="shared" si="6"/>
        <v>0</v>
      </c>
      <c r="V55" s="373"/>
      <c r="W55" s="288"/>
      <c r="X55" s="296"/>
      <c r="Y55" s="380"/>
      <c r="Z55" s="379"/>
      <c r="AA55" s="301"/>
      <c r="AB55" s="279"/>
      <c r="AC55" s="280"/>
      <c r="AD55" s="282"/>
      <c r="AE55" s="281"/>
      <c r="AF55" s="280"/>
      <c r="AG55" s="282"/>
      <c r="AH55" s="281"/>
      <c r="AI55" s="280"/>
      <c r="AJ55" s="280"/>
      <c r="AK55" s="293"/>
      <c r="AL55" s="283"/>
      <c r="AM55" s="293"/>
      <c r="AN55" s="359"/>
      <c r="AO55" s="350"/>
      <c r="AP55" s="251"/>
      <c r="AQ55" s="351"/>
      <c r="AR55" s="388"/>
    </row>
    <row r="56" spans="1:44" s="19" customFormat="1" ht="15.5" x14ac:dyDescent="0.35">
      <c r="A56" s="313"/>
      <c r="B56" s="291"/>
      <c r="C56" s="291"/>
      <c r="D56" s="292"/>
      <c r="E56" s="292"/>
      <c r="F56" s="292"/>
      <c r="G56" s="292"/>
      <c r="H56" s="292"/>
      <c r="I56" s="292"/>
      <c r="J56" s="292"/>
      <c r="K56" s="292"/>
      <c r="L56" s="292"/>
      <c r="M56" s="292"/>
      <c r="N56" s="292"/>
      <c r="O56" s="292"/>
      <c r="P56" s="276">
        <f t="shared" si="1"/>
        <v>0</v>
      </c>
      <c r="Q56" s="277">
        <f t="shared" si="2"/>
        <v>0</v>
      </c>
      <c r="R56" s="278">
        <f t="shared" si="3"/>
        <v>0</v>
      </c>
      <c r="S56" s="278">
        <f t="shared" si="4"/>
        <v>0</v>
      </c>
      <c r="T56" s="278">
        <f t="shared" si="5"/>
        <v>0</v>
      </c>
      <c r="U56" s="279">
        <f t="shared" si="6"/>
        <v>0</v>
      </c>
      <c r="V56" s="373"/>
      <c r="W56" s="288"/>
      <c r="X56" s="296"/>
      <c r="Y56" s="380"/>
      <c r="Z56" s="379"/>
      <c r="AA56" s="301"/>
      <c r="AB56" s="279"/>
      <c r="AC56" s="280"/>
      <c r="AD56" s="282"/>
      <c r="AE56" s="281"/>
      <c r="AF56" s="280"/>
      <c r="AG56" s="282"/>
      <c r="AH56" s="281"/>
      <c r="AI56" s="280"/>
      <c r="AJ56" s="280"/>
      <c r="AK56" s="293"/>
      <c r="AL56" s="283"/>
      <c r="AM56" s="293"/>
      <c r="AN56" s="359"/>
      <c r="AO56" s="350"/>
      <c r="AP56" s="251"/>
      <c r="AQ56" s="351"/>
      <c r="AR56" s="388"/>
    </row>
    <row r="57" spans="1:44" s="35" customFormat="1" ht="15.5" x14ac:dyDescent="0.35">
      <c r="A57" s="313"/>
      <c r="B57" s="291"/>
      <c r="C57" s="291"/>
      <c r="D57" s="292"/>
      <c r="E57" s="292"/>
      <c r="F57" s="292"/>
      <c r="G57" s="292"/>
      <c r="H57" s="292"/>
      <c r="I57" s="292"/>
      <c r="J57" s="292"/>
      <c r="K57" s="292"/>
      <c r="L57" s="292"/>
      <c r="M57" s="292"/>
      <c r="N57" s="292"/>
      <c r="O57" s="292"/>
      <c r="P57" s="276">
        <f t="shared" si="1"/>
        <v>0</v>
      </c>
      <c r="Q57" s="277">
        <f t="shared" si="2"/>
        <v>0</v>
      </c>
      <c r="R57" s="278">
        <f t="shared" si="3"/>
        <v>0</v>
      </c>
      <c r="S57" s="278">
        <f t="shared" si="4"/>
        <v>0</v>
      </c>
      <c r="T57" s="278">
        <f t="shared" si="5"/>
        <v>0</v>
      </c>
      <c r="U57" s="279">
        <f t="shared" si="6"/>
        <v>0</v>
      </c>
      <c r="V57" s="373"/>
      <c r="W57" s="288"/>
      <c r="X57" s="296"/>
      <c r="Y57" s="380"/>
      <c r="Z57" s="379"/>
      <c r="AA57" s="301"/>
      <c r="AB57" s="279"/>
      <c r="AC57" s="280"/>
      <c r="AD57" s="282"/>
      <c r="AE57" s="281"/>
      <c r="AF57" s="280"/>
      <c r="AG57" s="282"/>
      <c r="AH57" s="281"/>
      <c r="AI57" s="280"/>
      <c r="AJ57" s="280"/>
      <c r="AK57" s="293"/>
      <c r="AL57" s="283"/>
      <c r="AM57" s="293"/>
      <c r="AN57" s="359"/>
      <c r="AO57" s="350"/>
      <c r="AP57" s="251"/>
      <c r="AQ57" s="351"/>
      <c r="AR57" s="388"/>
    </row>
    <row r="58" spans="1:44" s="19" customFormat="1" ht="15.5" x14ac:dyDescent="0.35">
      <c r="A58" s="313"/>
      <c r="B58" s="291"/>
      <c r="C58" s="291"/>
      <c r="D58" s="292"/>
      <c r="E58" s="292"/>
      <c r="F58" s="292"/>
      <c r="G58" s="292"/>
      <c r="H58" s="292"/>
      <c r="I58" s="292"/>
      <c r="J58" s="292"/>
      <c r="K58" s="292"/>
      <c r="L58" s="292"/>
      <c r="M58" s="292"/>
      <c r="N58" s="292"/>
      <c r="O58" s="292"/>
      <c r="P58" s="276">
        <f t="shared" si="1"/>
        <v>0</v>
      </c>
      <c r="Q58" s="277">
        <f t="shared" si="2"/>
        <v>0</v>
      </c>
      <c r="R58" s="278">
        <f t="shared" si="3"/>
        <v>0</v>
      </c>
      <c r="S58" s="278">
        <f t="shared" si="4"/>
        <v>0</v>
      </c>
      <c r="T58" s="278">
        <f t="shared" si="5"/>
        <v>0</v>
      </c>
      <c r="U58" s="279">
        <f t="shared" si="6"/>
        <v>0</v>
      </c>
      <c r="V58" s="373"/>
      <c r="W58" s="288"/>
      <c r="X58" s="296"/>
      <c r="Y58" s="380"/>
      <c r="Z58" s="379"/>
      <c r="AA58" s="301"/>
      <c r="AB58" s="279"/>
      <c r="AC58" s="280"/>
      <c r="AD58" s="282"/>
      <c r="AE58" s="281"/>
      <c r="AF58" s="280"/>
      <c r="AG58" s="282"/>
      <c r="AH58" s="281"/>
      <c r="AI58" s="280"/>
      <c r="AJ58" s="280"/>
      <c r="AK58" s="293"/>
      <c r="AL58" s="283"/>
      <c r="AM58" s="293"/>
      <c r="AN58" s="359"/>
      <c r="AO58" s="350"/>
      <c r="AP58" s="251"/>
      <c r="AQ58" s="351"/>
      <c r="AR58" s="388"/>
    </row>
    <row r="59" spans="1:44" s="35" customFormat="1" ht="15.5" x14ac:dyDescent="0.35">
      <c r="A59" s="313"/>
      <c r="B59" s="291"/>
      <c r="C59" s="291"/>
      <c r="D59" s="292"/>
      <c r="E59" s="292"/>
      <c r="F59" s="292"/>
      <c r="G59" s="292"/>
      <c r="H59" s="292"/>
      <c r="I59" s="292"/>
      <c r="J59" s="292"/>
      <c r="K59" s="292"/>
      <c r="L59" s="292"/>
      <c r="M59" s="292"/>
      <c r="N59" s="292"/>
      <c r="O59" s="292"/>
      <c r="P59" s="276">
        <f t="shared" si="1"/>
        <v>0</v>
      </c>
      <c r="Q59" s="277">
        <f t="shared" si="2"/>
        <v>0</v>
      </c>
      <c r="R59" s="278">
        <f t="shared" si="3"/>
        <v>0</v>
      </c>
      <c r="S59" s="278">
        <f t="shared" si="4"/>
        <v>0</v>
      </c>
      <c r="T59" s="278">
        <f t="shared" si="5"/>
        <v>0</v>
      </c>
      <c r="U59" s="279">
        <f t="shared" si="6"/>
        <v>0</v>
      </c>
      <c r="V59" s="373"/>
      <c r="W59" s="288"/>
      <c r="X59" s="296"/>
      <c r="Y59" s="380"/>
      <c r="Z59" s="379"/>
      <c r="AA59" s="301"/>
      <c r="AB59" s="279"/>
      <c r="AC59" s="280"/>
      <c r="AD59" s="282"/>
      <c r="AE59" s="281"/>
      <c r="AF59" s="280"/>
      <c r="AG59" s="282"/>
      <c r="AH59" s="281"/>
      <c r="AI59" s="280"/>
      <c r="AJ59" s="280"/>
      <c r="AK59" s="293"/>
      <c r="AL59" s="283"/>
      <c r="AM59" s="293"/>
      <c r="AN59" s="359"/>
      <c r="AO59" s="350"/>
      <c r="AP59" s="251"/>
      <c r="AQ59" s="351"/>
      <c r="AR59" s="388"/>
    </row>
    <row r="60" spans="1:44" s="35" customFormat="1" ht="15.5" x14ac:dyDescent="0.35">
      <c r="A60" s="313"/>
      <c r="B60" s="291"/>
      <c r="C60" s="291"/>
      <c r="D60" s="292"/>
      <c r="E60" s="292"/>
      <c r="F60" s="292"/>
      <c r="G60" s="292"/>
      <c r="H60" s="292"/>
      <c r="I60" s="292"/>
      <c r="J60" s="292"/>
      <c r="K60" s="292"/>
      <c r="L60" s="292"/>
      <c r="M60" s="292"/>
      <c r="N60" s="292"/>
      <c r="O60" s="292"/>
      <c r="P60" s="276">
        <f t="shared" si="1"/>
        <v>0</v>
      </c>
      <c r="Q60" s="277">
        <f t="shared" si="2"/>
        <v>0</v>
      </c>
      <c r="R60" s="278">
        <f t="shared" si="3"/>
        <v>0</v>
      </c>
      <c r="S60" s="278">
        <f t="shared" si="4"/>
        <v>0</v>
      </c>
      <c r="T60" s="278">
        <f t="shared" si="5"/>
        <v>0</v>
      </c>
      <c r="U60" s="279">
        <f t="shared" si="6"/>
        <v>0</v>
      </c>
      <c r="V60" s="373"/>
      <c r="W60" s="288"/>
      <c r="X60" s="296"/>
      <c r="Y60" s="380"/>
      <c r="Z60" s="379"/>
      <c r="AA60" s="301"/>
      <c r="AB60" s="279"/>
      <c r="AC60" s="280"/>
      <c r="AD60" s="282"/>
      <c r="AE60" s="281"/>
      <c r="AF60" s="280"/>
      <c r="AG60" s="282"/>
      <c r="AH60" s="281"/>
      <c r="AI60" s="280"/>
      <c r="AJ60" s="280"/>
      <c r="AK60" s="293"/>
      <c r="AL60" s="283"/>
      <c r="AM60" s="293"/>
      <c r="AN60" s="359"/>
      <c r="AO60" s="350"/>
      <c r="AP60" s="251"/>
      <c r="AQ60" s="351"/>
      <c r="AR60" s="388"/>
    </row>
    <row r="61" spans="1:44" s="35" customFormat="1" ht="15.5" x14ac:dyDescent="0.35">
      <c r="A61" s="313"/>
      <c r="B61" s="291"/>
      <c r="C61" s="291"/>
      <c r="D61" s="292"/>
      <c r="E61" s="292"/>
      <c r="F61" s="292"/>
      <c r="G61" s="292"/>
      <c r="H61" s="292"/>
      <c r="I61" s="292"/>
      <c r="J61" s="292"/>
      <c r="K61" s="292"/>
      <c r="L61" s="292"/>
      <c r="M61" s="292"/>
      <c r="N61" s="292"/>
      <c r="O61" s="292"/>
      <c r="P61" s="276">
        <f t="shared" si="1"/>
        <v>0</v>
      </c>
      <c r="Q61" s="277">
        <f t="shared" si="2"/>
        <v>0</v>
      </c>
      <c r="R61" s="278">
        <f t="shared" si="3"/>
        <v>0</v>
      </c>
      <c r="S61" s="278">
        <f t="shared" si="4"/>
        <v>0</v>
      </c>
      <c r="T61" s="278">
        <f t="shared" si="5"/>
        <v>0</v>
      </c>
      <c r="U61" s="279">
        <f t="shared" si="6"/>
        <v>0</v>
      </c>
      <c r="V61" s="373"/>
      <c r="W61" s="288"/>
      <c r="X61" s="296"/>
      <c r="Y61" s="380"/>
      <c r="Z61" s="379"/>
      <c r="AA61" s="301"/>
      <c r="AB61" s="279"/>
      <c r="AC61" s="280"/>
      <c r="AD61" s="282"/>
      <c r="AE61" s="281"/>
      <c r="AF61" s="280"/>
      <c r="AG61" s="282"/>
      <c r="AH61" s="281"/>
      <c r="AI61" s="280"/>
      <c r="AJ61" s="280"/>
      <c r="AK61" s="293"/>
      <c r="AL61" s="283"/>
      <c r="AM61" s="293"/>
      <c r="AN61" s="359"/>
      <c r="AO61" s="350"/>
      <c r="AP61" s="251"/>
      <c r="AQ61" s="351"/>
      <c r="AR61" s="388"/>
    </row>
    <row r="62" spans="1:44" s="35" customFormat="1" ht="15.5" x14ac:dyDescent="0.35">
      <c r="A62" s="313"/>
      <c r="B62" s="291"/>
      <c r="C62" s="291"/>
      <c r="D62" s="292"/>
      <c r="E62" s="292"/>
      <c r="F62" s="292"/>
      <c r="G62" s="292"/>
      <c r="H62" s="292"/>
      <c r="I62" s="292"/>
      <c r="J62" s="292"/>
      <c r="K62" s="292"/>
      <c r="L62" s="292"/>
      <c r="M62" s="292"/>
      <c r="N62" s="292"/>
      <c r="O62" s="292"/>
      <c r="P62" s="276">
        <f t="shared" si="1"/>
        <v>0</v>
      </c>
      <c r="Q62" s="277">
        <f t="shared" si="2"/>
        <v>0</v>
      </c>
      <c r="R62" s="278">
        <f t="shared" si="3"/>
        <v>0</v>
      </c>
      <c r="S62" s="278">
        <f t="shared" si="4"/>
        <v>0</v>
      </c>
      <c r="T62" s="278">
        <f t="shared" si="5"/>
        <v>0</v>
      </c>
      <c r="U62" s="279">
        <f t="shared" si="6"/>
        <v>0</v>
      </c>
      <c r="V62" s="373"/>
      <c r="W62" s="288"/>
      <c r="X62" s="296"/>
      <c r="Y62" s="380"/>
      <c r="Z62" s="379"/>
      <c r="AA62" s="301"/>
      <c r="AB62" s="279"/>
      <c r="AC62" s="280"/>
      <c r="AD62" s="282"/>
      <c r="AE62" s="281"/>
      <c r="AF62" s="280"/>
      <c r="AG62" s="282"/>
      <c r="AH62" s="281"/>
      <c r="AI62" s="280"/>
      <c r="AJ62" s="280"/>
      <c r="AK62" s="293"/>
      <c r="AL62" s="283"/>
      <c r="AM62" s="293"/>
      <c r="AN62" s="359"/>
      <c r="AO62" s="350"/>
      <c r="AP62" s="251"/>
      <c r="AQ62" s="351"/>
      <c r="AR62" s="388"/>
    </row>
    <row r="63" spans="1:44" s="35" customFormat="1" ht="15.5" x14ac:dyDescent="0.35">
      <c r="A63" s="313"/>
      <c r="B63" s="291"/>
      <c r="C63" s="291"/>
      <c r="D63" s="292"/>
      <c r="E63" s="292"/>
      <c r="F63" s="292"/>
      <c r="G63" s="292"/>
      <c r="H63" s="292"/>
      <c r="I63" s="292"/>
      <c r="J63" s="292"/>
      <c r="K63" s="292"/>
      <c r="L63" s="292"/>
      <c r="M63" s="292"/>
      <c r="N63" s="292"/>
      <c r="O63" s="292"/>
      <c r="P63" s="276">
        <f t="shared" si="1"/>
        <v>0</v>
      </c>
      <c r="Q63" s="277">
        <f t="shared" si="2"/>
        <v>0</v>
      </c>
      <c r="R63" s="278">
        <f t="shared" si="3"/>
        <v>0</v>
      </c>
      <c r="S63" s="278">
        <f t="shared" si="4"/>
        <v>0</v>
      </c>
      <c r="T63" s="278">
        <f t="shared" si="5"/>
        <v>0</v>
      </c>
      <c r="U63" s="279">
        <f t="shared" si="6"/>
        <v>0</v>
      </c>
      <c r="V63" s="373"/>
      <c r="W63" s="288"/>
      <c r="X63" s="296"/>
      <c r="Y63" s="380"/>
      <c r="Z63" s="379"/>
      <c r="AA63" s="301"/>
      <c r="AB63" s="279"/>
      <c r="AC63" s="280"/>
      <c r="AD63" s="282"/>
      <c r="AE63" s="281"/>
      <c r="AF63" s="280"/>
      <c r="AG63" s="282"/>
      <c r="AH63" s="281"/>
      <c r="AI63" s="280"/>
      <c r="AJ63" s="282"/>
      <c r="AK63" s="293"/>
      <c r="AL63" s="283"/>
      <c r="AM63" s="293"/>
      <c r="AN63" s="359"/>
      <c r="AO63" s="350"/>
      <c r="AP63" s="251"/>
      <c r="AQ63" s="351"/>
      <c r="AR63" s="388"/>
    </row>
    <row r="64" spans="1:44" s="19" customFormat="1" ht="15.5" x14ac:dyDescent="0.35">
      <c r="A64" s="313"/>
      <c r="B64" s="291"/>
      <c r="C64" s="291"/>
      <c r="D64" s="292"/>
      <c r="E64" s="292"/>
      <c r="F64" s="292"/>
      <c r="G64" s="292"/>
      <c r="H64" s="292"/>
      <c r="I64" s="292"/>
      <c r="J64" s="292"/>
      <c r="K64" s="292"/>
      <c r="L64" s="292"/>
      <c r="M64" s="292"/>
      <c r="N64" s="292"/>
      <c r="O64" s="292"/>
      <c r="P64" s="276">
        <f t="shared" si="1"/>
        <v>0</v>
      </c>
      <c r="Q64" s="277">
        <f t="shared" si="2"/>
        <v>0</v>
      </c>
      <c r="R64" s="278">
        <f t="shared" si="3"/>
        <v>0</v>
      </c>
      <c r="S64" s="278">
        <f t="shared" si="4"/>
        <v>0</v>
      </c>
      <c r="T64" s="278">
        <f t="shared" si="5"/>
        <v>0</v>
      </c>
      <c r="U64" s="279">
        <f t="shared" si="6"/>
        <v>0</v>
      </c>
      <c r="V64" s="373"/>
      <c r="W64" s="288"/>
      <c r="X64" s="296"/>
      <c r="Y64" s="380"/>
      <c r="Z64" s="379"/>
      <c r="AA64" s="301"/>
      <c r="AB64" s="279"/>
      <c r="AC64" s="280"/>
      <c r="AD64" s="282"/>
      <c r="AE64" s="281"/>
      <c r="AF64" s="280"/>
      <c r="AG64" s="282"/>
      <c r="AH64" s="281"/>
      <c r="AI64" s="280"/>
      <c r="AJ64" s="280"/>
      <c r="AK64" s="293"/>
      <c r="AL64" s="283"/>
      <c r="AM64" s="293"/>
      <c r="AN64" s="359"/>
      <c r="AO64" s="350"/>
      <c r="AP64" s="251"/>
      <c r="AQ64" s="351"/>
      <c r="AR64" s="388"/>
    </row>
    <row r="65" spans="1:44" s="19" customFormat="1" ht="15.5" x14ac:dyDescent="0.35">
      <c r="A65" s="313"/>
      <c r="B65" s="291"/>
      <c r="C65" s="291"/>
      <c r="D65" s="292"/>
      <c r="E65" s="292"/>
      <c r="F65" s="292"/>
      <c r="G65" s="292"/>
      <c r="H65" s="292"/>
      <c r="I65" s="292"/>
      <c r="J65" s="292"/>
      <c r="K65" s="292"/>
      <c r="L65" s="292"/>
      <c r="M65" s="292"/>
      <c r="N65" s="292"/>
      <c r="O65" s="292"/>
      <c r="P65" s="276">
        <f t="shared" si="1"/>
        <v>0</v>
      </c>
      <c r="Q65" s="277">
        <f t="shared" si="2"/>
        <v>0</v>
      </c>
      <c r="R65" s="278">
        <f t="shared" si="3"/>
        <v>0</v>
      </c>
      <c r="S65" s="278">
        <f t="shared" si="4"/>
        <v>0</v>
      </c>
      <c r="T65" s="278">
        <f t="shared" si="5"/>
        <v>0</v>
      </c>
      <c r="U65" s="279">
        <f t="shared" si="6"/>
        <v>0</v>
      </c>
      <c r="V65" s="373"/>
      <c r="W65" s="288"/>
      <c r="X65" s="296"/>
      <c r="Y65" s="380"/>
      <c r="Z65" s="379"/>
      <c r="AA65" s="301"/>
      <c r="AB65" s="279"/>
      <c r="AC65" s="280"/>
      <c r="AD65" s="282"/>
      <c r="AE65" s="281"/>
      <c r="AF65" s="280"/>
      <c r="AG65" s="282"/>
      <c r="AH65" s="281"/>
      <c r="AI65" s="280"/>
      <c r="AJ65" s="280"/>
      <c r="AK65" s="293"/>
      <c r="AL65" s="283"/>
      <c r="AM65" s="293"/>
      <c r="AN65" s="359"/>
      <c r="AO65" s="350"/>
      <c r="AP65" s="251"/>
      <c r="AQ65" s="351"/>
      <c r="AR65" s="388"/>
    </row>
    <row r="66" spans="1:44" s="19" customFormat="1" ht="15.5" x14ac:dyDescent="0.35">
      <c r="A66" s="313"/>
      <c r="B66" s="291"/>
      <c r="C66" s="291"/>
      <c r="D66" s="292"/>
      <c r="E66" s="292"/>
      <c r="F66" s="292"/>
      <c r="G66" s="292"/>
      <c r="H66" s="292"/>
      <c r="I66" s="292"/>
      <c r="J66" s="292"/>
      <c r="K66" s="292"/>
      <c r="L66" s="292"/>
      <c r="M66" s="292"/>
      <c r="N66" s="292"/>
      <c r="O66" s="292"/>
      <c r="P66" s="276">
        <f t="shared" si="1"/>
        <v>0</v>
      </c>
      <c r="Q66" s="277">
        <f t="shared" si="2"/>
        <v>0</v>
      </c>
      <c r="R66" s="278">
        <f t="shared" si="3"/>
        <v>0</v>
      </c>
      <c r="S66" s="278">
        <f t="shared" si="4"/>
        <v>0</v>
      </c>
      <c r="T66" s="278">
        <f t="shared" si="5"/>
        <v>0</v>
      </c>
      <c r="U66" s="279">
        <f t="shared" si="6"/>
        <v>0</v>
      </c>
      <c r="V66" s="373"/>
      <c r="W66" s="288"/>
      <c r="X66" s="296"/>
      <c r="Y66" s="380"/>
      <c r="Z66" s="379"/>
      <c r="AA66" s="301"/>
      <c r="AB66" s="279"/>
      <c r="AC66" s="280"/>
      <c r="AD66" s="282"/>
      <c r="AE66" s="281"/>
      <c r="AF66" s="280"/>
      <c r="AG66" s="282"/>
      <c r="AH66" s="281"/>
      <c r="AI66" s="280"/>
      <c r="AJ66" s="280"/>
      <c r="AK66" s="293"/>
      <c r="AL66" s="283"/>
      <c r="AM66" s="357"/>
      <c r="AN66" s="359"/>
      <c r="AO66" s="350"/>
      <c r="AP66" s="251"/>
      <c r="AQ66" s="351"/>
      <c r="AR66" s="388"/>
    </row>
    <row r="67" spans="1:44" s="19" customFormat="1" ht="15.5" x14ac:dyDescent="0.35">
      <c r="A67" s="313"/>
      <c r="B67" s="291"/>
      <c r="C67" s="291"/>
      <c r="D67" s="292"/>
      <c r="E67" s="292"/>
      <c r="F67" s="292"/>
      <c r="G67" s="292"/>
      <c r="H67" s="292"/>
      <c r="I67" s="292"/>
      <c r="J67" s="291"/>
      <c r="K67" s="292"/>
      <c r="L67" s="292"/>
      <c r="M67" s="292"/>
      <c r="N67" s="292"/>
      <c r="O67" s="292"/>
      <c r="P67" s="276">
        <f t="shared" ref="P67:P94" si="7">SUM(Q67:U67)</f>
        <v>0</v>
      </c>
      <c r="Q67" s="277">
        <f t="shared" si="2"/>
        <v>0</v>
      </c>
      <c r="R67" s="278">
        <f t="shared" ref="R67:R94" si="8">SUM(Y67:AA67)</f>
        <v>0</v>
      </c>
      <c r="S67" s="278">
        <f t="shared" ref="S67:S94" si="9">SUM(AB67:AD67)</f>
        <v>0</v>
      </c>
      <c r="T67" s="278">
        <f t="shared" ref="T67:T94" si="10">SUM(AE67:AG67)</f>
        <v>0</v>
      </c>
      <c r="U67" s="279">
        <f t="shared" ref="U67:U94" si="11">SUM(AH67:AJ67)</f>
        <v>0</v>
      </c>
      <c r="V67" s="373"/>
      <c r="W67" s="288"/>
      <c r="X67" s="296"/>
      <c r="Y67" s="380"/>
      <c r="Z67" s="379"/>
      <c r="AA67" s="301"/>
      <c r="AB67" s="279"/>
      <c r="AC67" s="280"/>
      <c r="AD67" s="282"/>
      <c r="AE67" s="281"/>
      <c r="AF67" s="280"/>
      <c r="AG67" s="282"/>
      <c r="AH67" s="281"/>
      <c r="AI67" s="280"/>
      <c r="AJ67" s="280"/>
      <c r="AK67" s="293"/>
      <c r="AL67" s="283"/>
      <c r="AM67" s="357"/>
      <c r="AN67" s="359"/>
      <c r="AO67" s="350"/>
      <c r="AP67" s="251"/>
      <c r="AQ67" s="351"/>
      <c r="AR67" s="388"/>
    </row>
    <row r="68" spans="1:44" s="19" customFormat="1" ht="15.5" x14ac:dyDescent="0.35">
      <c r="A68" s="313"/>
      <c r="B68" s="291"/>
      <c r="C68" s="291"/>
      <c r="D68" s="292"/>
      <c r="E68" s="292"/>
      <c r="F68" s="292"/>
      <c r="G68" s="292"/>
      <c r="H68" s="294"/>
      <c r="I68" s="294"/>
      <c r="J68" s="295"/>
      <c r="K68" s="294"/>
      <c r="L68" s="294"/>
      <c r="M68" s="294"/>
      <c r="N68" s="294"/>
      <c r="O68" s="294"/>
      <c r="P68" s="276">
        <f t="shared" si="7"/>
        <v>0</v>
      </c>
      <c r="Q68" s="277">
        <f t="shared" si="2"/>
        <v>0</v>
      </c>
      <c r="R68" s="278">
        <f t="shared" si="8"/>
        <v>0</v>
      </c>
      <c r="S68" s="278">
        <f t="shared" si="9"/>
        <v>0</v>
      </c>
      <c r="T68" s="278">
        <f t="shared" si="10"/>
        <v>0</v>
      </c>
      <c r="U68" s="279">
        <f t="shared" si="11"/>
        <v>0</v>
      </c>
      <c r="V68" s="373"/>
      <c r="W68" s="288"/>
      <c r="X68" s="296"/>
      <c r="Y68" s="380"/>
      <c r="Z68" s="379"/>
      <c r="AA68" s="301"/>
      <c r="AB68" s="298"/>
      <c r="AC68" s="299"/>
      <c r="AD68" s="301"/>
      <c r="AE68" s="300"/>
      <c r="AF68" s="299"/>
      <c r="AG68" s="301"/>
      <c r="AH68" s="300"/>
      <c r="AI68" s="299"/>
      <c r="AJ68" s="299"/>
      <c r="AK68" s="357"/>
      <c r="AL68" s="283"/>
      <c r="AM68" s="357"/>
      <c r="AN68" s="359"/>
      <c r="AO68" s="350"/>
      <c r="AP68" s="251"/>
      <c r="AQ68" s="351"/>
      <c r="AR68" s="388"/>
    </row>
    <row r="69" spans="1:44" s="19" customFormat="1" ht="15.5" x14ac:dyDescent="0.35">
      <c r="A69" s="313"/>
      <c r="B69" s="291"/>
      <c r="C69" s="291"/>
      <c r="D69" s="292"/>
      <c r="E69" s="292"/>
      <c r="F69" s="292"/>
      <c r="G69" s="292"/>
      <c r="H69" s="294"/>
      <c r="I69" s="294"/>
      <c r="J69" s="295"/>
      <c r="K69" s="294"/>
      <c r="L69" s="294"/>
      <c r="M69" s="294"/>
      <c r="N69" s="294"/>
      <c r="O69" s="294"/>
      <c r="P69" s="276">
        <f t="shared" si="7"/>
        <v>0</v>
      </c>
      <c r="Q69" s="277">
        <f t="shared" si="2"/>
        <v>0</v>
      </c>
      <c r="R69" s="278">
        <f t="shared" si="8"/>
        <v>0</v>
      </c>
      <c r="S69" s="278">
        <f t="shared" si="9"/>
        <v>0</v>
      </c>
      <c r="T69" s="278">
        <f t="shared" si="10"/>
        <v>0</v>
      </c>
      <c r="U69" s="279">
        <f t="shared" si="11"/>
        <v>0</v>
      </c>
      <c r="V69" s="373"/>
      <c r="W69" s="288"/>
      <c r="X69" s="296"/>
      <c r="Y69" s="380"/>
      <c r="Z69" s="379"/>
      <c r="AA69" s="301"/>
      <c r="AB69" s="298"/>
      <c r="AC69" s="299"/>
      <c r="AD69" s="301"/>
      <c r="AE69" s="300"/>
      <c r="AF69" s="299"/>
      <c r="AG69" s="301"/>
      <c r="AH69" s="300"/>
      <c r="AI69" s="299"/>
      <c r="AJ69" s="299"/>
      <c r="AK69" s="357"/>
      <c r="AL69" s="283"/>
      <c r="AM69" s="357"/>
      <c r="AN69" s="359"/>
      <c r="AO69" s="350"/>
      <c r="AP69" s="251"/>
      <c r="AQ69" s="351"/>
      <c r="AR69" s="388"/>
    </row>
    <row r="70" spans="1:44" s="35" customFormat="1" ht="15.5" x14ac:dyDescent="0.35">
      <c r="A70" s="313"/>
      <c r="B70" s="291"/>
      <c r="C70" s="291"/>
      <c r="D70" s="292"/>
      <c r="E70" s="292"/>
      <c r="F70" s="292"/>
      <c r="G70" s="292"/>
      <c r="H70" s="292"/>
      <c r="I70" s="292"/>
      <c r="J70" s="312"/>
      <c r="K70" s="292"/>
      <c r="L70" s="292"/>
      <c r="M70" s="292"/>
      <c r="N70" s="292"/>
      <c r="O70" s="292"/>
      <c r="P70" s="276">
        <f t="shared" si="7"/>
        <v>0</v>
      </c>
      <c r="Q70" s="277">
        <f t="shared" si="2"/>
        <v>0</v>
      </c>
      <c r="R70" s="278">
        <f t="shared" si="8"/>
        <v>0</v>
      </c>
      <c r="S70" s="278">
        <f t="shared" si="9"/>
        <v>0</v>
      </c>
      <c r="T70" s="278">
        <f t="shared" si="10"/>
        <v>0</v>
      </c>
      <c r="U70" s="279">
        <f t="shared" si="11"/>
        <v>0</v>
      </c>
      <c r="V70" s="373"/>
      <c r="W70" s="288"/>
      <c r="X70" s="296"/>
      <c r="Y70" s="380"/>
      <c r="Z70" s="379"/>
      <c r="AA70" s="301"/>
      <c r="AB70" s="279"/>
      <c r="AC70" s="280"/>
      <c r="AD70" s="282"/>
      <c r="AE70" s="281"/>
      <c r="AF70" s="280"/>
      <c r="AG70" s="282"/>
      <c r="AH70" s="281"/>
      <c r="AI70" s="280"/>
      <c r="AJ70" s="280"/>
      <c r="AK70" s="293"/>
      <c r="AL70" s="283"/>
      <c r="AM70" s="293"/>
      <c r="AN70" s="359"/>
      <c r="AO70" s="350"/>
      <c r="AP70" s="251"/>
      <c r="AQ70" s="351"/>
      <c r="AR70" s="388"/>
    </row>
    <row r="71" spans="1:44" s="35" customFormat="1" ht="15.5" x14ac:dyDescent="0.35">
      <c r="A71" s="313"/>
      <c r="B71" s="291"/>
      <c r="C71" s="291"/>
      <c r="D71" s="292"/>
      <c r="E71" s="292"/>
      <c r="F71" s="292"/>
      <c r="G71" s="292"/>
      <c r="H71" s="292"/>
      <c r="I71" s="292"/>
      <c r="J71" s="292"/>
      <c r="K71" s="292"/>
      <c r="L71" s="292"/>
      <c r="M71" s="292"/>
      <c r="N71" s="292"/>
      <c r="O71" s="292"/>
      <c r="P71" s="276">
        <f t="shared" si="7"/>
        <v>0</v>
      </c>
      <c r="Q71" s="277">
        <f t="shared" si="2"/>
        <v>0</v>
      </c>
      <c r="R71" s="278">
        <f t="shared" si="8"/>
        <v>0</v>
      </c>
      <c r="S71" s="278">
        <f t="shared" si="9"/>
        <v>0</v>
      </c>
      <c r="T71" s="278">
        <f t="shared" si="10"/>
        <v>0</v>
      </c>
      <c r="U71" s="279">
        <f t="shared" si="11"/>
        <v>0</v>
      </c>
      <c r="V71" s="373"/>
      <c r="W71" s="288"/>
      <c r="X71" s="296"/>
      <c r="Y71" s="380"/>
      <c r="Z71" s="379"/>
      <c r="AA71" s="301"/>
      <c r="AB71" s="279"/>
      <c r="AC71" s="280"/>
      <c r="AD71" s="282"/>
      <c r="AE71" s="281"/>
      <c r="AF71" s="280"/>
      <c r="AG71" s="282"/>
      <c r="AH71" s="281"/>
      <c r="AI71" s="280"/>
      <c r="AJ71" s="282"/>
      <c r="AK71" s="293"/>
      <c r="AL71" s="283"/>
      <c r="AM71" s="293"/>
      <c r="AN71" s="359"/>
      <c r="AO71" s="350"/>
      <c r="AP71" s="251"/>
      <c r="AQ71" s="351"/>
      <c r="AR71" s="388"/>
    </row>
    <row r="72" spans="1:44" s="19" customFormat="1" ht="16" x14ac:dyDescent="0.35">
      <c r="A72" s="313"/>
      <c r="B72" s="291"/>
      <c r="C72" s="291"/>
      <c r="D72" s="292"/>
      <c r="E72" s="292"/>
      <c r="F72" s="294"/>
      <c r="G72" s="294"/>
      <c r="H72" s="294"/>
      <c r="I72" s="295"/>
      <c r="J72" s="295"/>
      <c r="K72" s="295"/>
      <c r="L72" s="294"/>
      <c r="M72" s="294"/>
      <c r="N72" s="294"/>
      <c r="O72" s="292"/>
      <c r="P72" s="276">
        <f t="shared" si="7"/>
        <v>0</v>
      </c>
      <c r="Q72" s="277">
        <f t="shared" si="2"/>
        <v>0</v>
      </c>
      <c r="R72" s="278">
        <f t="shared" si="8"/>
        <v>0</v>
      </c>
      <c r="S72" s="278">
        <f t="shared" si="9"/>
        <v>0</v>
      </c>
      <c r="T72" s="278">
        <f t="shared" si="10"/>
        <v>0</v>
      </c>
      <c r="U72" s="279">
        <f t="shared" si="11"/>
        <v>0</v>
      </c>
      <c r="V72" s="373"/>
      <c r="W72" s="288"/>
      <c r="X72" s="296"/>
      <c r="Y72" s="380"/>
      <c r="Z72" s="379"/>
      <c r="AA72" s="301"/>
      <c r="AB72" s="375"/>
      <c r="AC72" s="303"/>
      <c r="AD72" s="304"/>
      <c r="AE72" s="302"/>
      <c r="AF72" s="303"/>
      <c r="AG72" s="304"/>
      <c r="AH72" s="302"/>
      <c r="AI72" s="303"/>
      <c r="AJ72" s="304"/>
      <c r="AK72" s="357"/>
      <c r="AL72" s="283"/>
      <c r="AM72" s="357"/>
      <c r="AN72" s="359"/>
      <c r="AO72" s="350"/>
      <c r="AP72" s="251"/>
      <c r="AQ72" s="351"/>
      <c r="AR72" s="388"/>
    </row>
    <row r="73" spans="1:44" s="19" customFormat="1" ht="15.5" x14ac:dyDescent="0.35">
      <c r="A73" s="313"/>
      <c r="B73" s="291"/>
      <c r="C73" s="291"/>
      <c r="D73" s="292"/>
      <c r="E73" s="292"/>
      <c r="F73" s="294"/>
      <c r="G73" s="294"/>
      <c r="H73" s="294"/>
      <c r="I73" s="295"/>
      <c r="J73" s="295"/>
      <c r="K73" s="295"/>
      <c r="L73" s="294"/>
      <c r="M73" s="294"/>
      <c r="N73" s="294"/>
      <c r="O73" s="292"/>
      <c r="P73" s="276">
        <f t="shared" si="7"/>
        <v>0</v>
      </c>
      <c r="Q73" s="277">
        <f t="shared" si="2"/>
        <v>0</v>
      </c>
      <c r="R73" s="278">
        <f t="shared" si="8"/>
        <v>0</v>
      </c>
      <c r="S73" s="278">
        <f t="shared" si="9"/>
        <v>0</v>
      </c>
      <c r="T73" s="278">
        <f t="shared" si="10"/>
        <v>0</v>
      </c>
      <c r="U73" s="279">
        <f t="shared" si="11"/>
        <v>0</v>
      </c>
      <c r="V73" s="373"/>
      <c r="W73" s="288"/>
      <c r="X73" s="296"/>
      <c r="Y73" s="380"/>
      <c r="Z73" s="379"/>
      <c r="AA73" s="301"/>
      <c r="AB73" s="298"/>
      <c r="AC73" s="299"/>
      <c r="AD73" s="301"/>
      <c r="AE73" s="298"/>
      <c r="AF73" s="299"/>
      <c r="AG73" s="301"/>
      <c r="AH73" s="298"/>
      <c r="AI73" s="299"/>
      <c r="AJ73" s="301"/>
      <c r="AK73" s="357"/>
      <c r="AL73" s="283"/>
      <c r="AM73" s="357"/>
      <c r="AN73" s="359"/>
      <c r="AO73" s="350"/>
      <c r="AP73" s="251"/>
      <c r="AQ73" s="351"/>
      <c r="AR73" s="388"/>
    </row>
    <row r="74" spans="1:44" s="19" customFormat="1" ht="15.5" x14ac:dyDescent="0.35">
      <c r="A74" s="313"/>
      <c r="B74" s="291"/>
      <c r="C74" s="291"/>
      <c r="D74" s="292"/>
      <c r="E74" s="292"/>
      <c r="F74" s="294"/>
      <c r="G74" s="294"/>
      <c r="H74" s="294"/>
      <c r="I74" s="295"/>
      <c r="J74" s="295"/>
      <c r="K74" s="295"/>
      <c r="L74" s="294"/>
      <c r="M74" s="294"/>
      <c r="N74" s="294"/>
      <c r="O74" s="292"/>
      <c r="P74" s="276">
        <f t="shared" si="7"/>
        <v>0</v>
      </c>
      <c r="Q74" s="277">
        <f t="shared" si="2"/>
        <v>0</v>
      </c>
      <c r="R74" s="278">
        <f t="shared" si="8"/>
        <v>0</v>
      </c>
      <c r="S74" s="278">
        <f t="shared" si="9"/>
        <v>0</v>
      </c>
      <c r="T74" s="278">
        <f t="shared" si="10"/>
        <v>0</v>
      </c>
      <c r="U74" s="279">
        <f t="shared" si="11"/>
        <v>0</v>
      </c>
      <c r="V74" s="373"/>
      <c r="W74" s="288"/>
      <c r="X74" s="296"/>
      <c r="Y74" s="380"/>
      <c r="Z74" s="379"/>
      <c r="AA74" s="301"/>
      <c r="AB74" s="298"/>
      <c r="AC74" s="299"/>
      <c r="AD74" s="301"/>
      <c r="AE74" s="298"/>
      <c r="AF74" s="299"/>
      <c r="AG74" s="301"/>
      <c r="AH74" s="298"/>
      <c r="AI74" s="299"/>
      <c r="AJ74" s="301"/>
      <c r="AK74" s="357"/>
      <c r="AL74" s="283"/>
      <c r="AM74" s="357"/>
      <c r="AN74" s="359"/>
      <c r="AO74" s="350"/>
      <c r="AP74" s="251"/>
      <c r="AQ74" s="351"/>
      <c r="AR74" s="388"/>
    </row>
    <row r="75" spans="1:44" s="19" customFormat="1" ht="15.5" x14ac:dyDescent="0.35">
      <c r="A75" s="313"/>
      <c r="B75" s="291"/>
      <c r="C75" s="291"/>
      <c r="D75" s="292"/>
      <c r="E75" s="292"/>
      <c r="F75" s="294"/>
      <c r="G75" s="294"/>
      <c r="H75" s="294"/>
      <c r="I75" s="295"/>
      <c r="J75" s="295"/>
      <c r="K75" s="295"/>
      <c r="L75" s="294"/>
      <c r="M75" s="294"/>
      <c r="N75" s="294"/>
      <c r="O75" s="292"/>
      <c r="P75" s="276">
        <f t="shared" si="7"/>
        <v>0</v>
      </c>
      <c r="Q75" s="277">
        <f t="shared" si="2"/>
        <v>0</v>
      </c>
      <c r="R75" s="278">
        <f t="shared" si="8"/>
        <v>0</v>
      </c>
      <c r="S75" s="278">
        <f t="shared" si="9"/>
        <v>0</v>
      </c>
      <c r="T75" s="278">
        <f t="shared" si="10"/>
        <v>0</v>
      </c>
      <c r="U75" s="279">
        <f t="shared" si="11"/>
        <v>0</v>
      </c>
      <c r="V75" s="373"/>
      <c r="W75" s="288"/>
      <c r="X75" s="296"/>
      <c r="Y75" s="380"/>
      <c r="Z75" s="379"/>
      <c r="AA75" s="301"/>
      <c r="AB75" s="298"/>
      <c r="AC75" s="299"/>
      <c r="AD75" s="301"/>
      <c r="AE75" s="298"/>
      <c r="AF75" s="299"/>
      <c r="AG75" s="301"/>
      <c r="AH75" s="298"/>
      <c r="AI75" s="299"/>
      <c r="AJ75" s="301"/>
      <c r="AK75" s="357"/>
      <c r="AL75" s="283"/>
      <c r="AM75" s="357"/>
      <c r="AN75" s="359"/>
      <c r="AO75" s="350"/>
      <c r="AP75" s="251"/>
      <c r="AQ75" s="351"/>
      <c r="AR75" s="388"/>
    </row>
    <row r="76" spans="1:44" s="19" customFormat="1" ht="15.5" x14ac:dyDescent="0.35">
      <c r="A76" s="313"/>
      <c r="B76" s="291"/>
      <c r="C76" s="291"/>
      <c r="D76" s="292"/>
      <c r="E76" s="292"/>
      <c r="F76" s="294"/>
      <c r="G76" s="294"/>
      <c r="H76" s="294"/>
      <c r="I76" s="295"/>
      <c r="J76" s="295"/>
      <c r="K76" s="295"/>
      <c r="L76" s="294"/>
      <c r="M76" s="294"/>
      <c r="N76" s="294"/>
      <c r="O76" s="292"/>
      <c r="P76" s="276">
        <f t="shared" si="7"/>
        <v>0</v>
      </c>
      <c r="Q76" s="277">
        <f t="shared" si="2"/>
        <v>0</v>
      </c>
      <c r="R76" s="278">
        <f t="shared" si="8"/>
        <v>0</v>
      </c>
      <c r="S76" s="278">
        <f t="shared" si="9"/>
        <v>0</v>
      </c>
      <c r="T76" s="278">
        <f t="shared" si="10"/>
        <v>0</v>
      </c>
      <c r="U76" s="279">
        <f t="shared" si="11"/>
        <v>0</v>
      </c>
      <c r="V76" s="373"/>
      <c r="W76" s="288"/>
      <c r="X76" s="296"/>
      <c r="Y76" s="380"/>
      <c r="Z76" s="379"/>
      <c r="AA76" s="301"/>
      <c r="AB76" s="298"/>
      <c r="AC76" s="299"/>
      <c r="AD76" s="301"/>
      <c r="AE76" s="298"/>
      <c r="AF76" s="299"/>
      <c r="AG76" s="301"/>
      <c r="AH76" s="298"/>
      <c r="AI76" s="299"/>
      <c r="AJ76" s="301"/>
      <c r="AK76" s="357"/>
      <c r="AL76" s="283"/>
      <c r="AM76" s="357"/>
      <c r="AN76" s="359"/>
      <c r="AO76" s="350"/>
      <c r="AP76" s="251"/>
      <c r="AQ76" s="351"/>
      <c r="AR76" s="388"/>
    </row>
    <row r="77" spans="1:44" s="19" customFormat="1" ht="16" x14ac:dyDescent="0.35">
      <c r="A77" s="313"/>
      <c r="B77" s="291"/>
      <c r="C77" s="291"/>
      <c r="D77" s="292"/>
      <c r="E77" s="292"/>
      <c r="F77" s="294"/>
      <c r="G77" s="294"/>
      <c r="H77" s="294"/>
      <c r="I77" s="295"/>
      <c r="J77" s="295"/>
      <c r="K77" s="295"/>
      <c r="L77" s="294"/>
      <c r="M77" s="294"/>
      <c r="N77" s="294"/>
      <c r="O77" s="292"/>
      <c r="P77" s="276">
        <f t="shared" si="7"/>
        <v>0</v>
      </c>
      <c r="Q77" s="277">
        <f t="shared" si="2"/>
        <v>0</v>
      </c>
      <c r="R77" s="278">
        <f t="shared" si="8"/>
        <v>0</v>
      </c>
      <c r="S77" s="278">
        <f t="shared" si="9"/>
        <v>0</v>
      </c>
      <c r="T77" s="278">
        <f t="shared" si="10"/>
        <v>0</v>
      </c>
      <c r="U77" s="279">
        <f t="shared" si="11"/>
        <v>0</v>
      </c>
      <c r="V77" s="373"/>
      <c r="W77" s="288"/>
      <c r="X77" s="296"/>
      <c r="Y77" s="380"/>
      <c r="Z77" s="379"/>
      <c r="AA77" s="301"/>
      <c r="AB77" s="375"/>
      <c r="AC77" s="303"/>
      <c r="AD77" s="304"/>
      <c r="AE77" s="302"/>
      <c r="AF77" s="303"/>
      <c r="AG77" s="304"/>
      <c r="AH77" s="302"/>
      <c r="AI77" s="303"/>
      <c r="AJ77" s="304"/>
      <c r="AK77" s="357"/>
      <c r="AL77" s="283"/>
      <c r="AM77" s="357"/>
      <c r="AN77" s="359"/>
      <c r="AO77" s="350"/>
      <c r="AP77" s="251"/>
      <c r="AQ77" s="351"/>
      <c r="AR77" s="388"/>
    </row>
    <row r="78" spans="1:44" s="19" customFormat="1" ht="16" x14ac:dyDescent="0.35">
      <c r="A78" s="313"/>
      <c r="B78" s="291"/>
      <c r="C78" s="291"/>
      <c r="D78" s="292"/>
      <c r="E78" s="292"/>
      <c r="F78" s="294"/>
      <c r="G78" s="294"/>
      <c r="H78" s="294"/>
      <c r="I78" s="295"/>
      <c r="J78" s="295"/>
      <c r="K78" s="295"/>
      <c r="L78" s="294"/>
      <c r="M78" s="294"/>
      <c r="N78" s="294"/>
      <c r="O78" s="292"/>
      <c r="P78" s="276">
        <f t="shared" si="7"/>
        <v>0</v>
      </c>
      <c r="Q78" s="277">
        <f t="shared" si="2"/>
        <v>0</v>
      </c>
      <c r="R78" s="278">
        <f t="shared" si="8"/>
        <v>0</v>
      </c>
      <c r="S78" s="278">
        <f t="shared" si="9"/>
        <v>0</v>
      </c>
      <c r="T78" s="278">
        <f t="shared" si="10"/>
        <v>0</v>
      </c>
      <c r="U78" s="279">
        <f t="shared" si="11"/>
        <v>0</v>
      </c>
      <c r="V78" s="373"/>
      <c r="W78" s="288"/>
      <c r="X78" s="296"/>
      <c r="Y78" s="380"/>
      <c r="Z78" s="379"/>
      <c r="AA78" s="301"/>
      <c r="AB78" s="375"/>
      <c r="AC78" s="303"/>
      <c r="AD78" s="304"/>
      <c r="AE78" s="302"/>
      <c r="AF78" s="303"/>
      <c r="AG78" s="304"/>
      <c r="AH78" s="302"/>
      <c r="AI78" s="303"/>
      <c r="AJ78" s="304"/>
      <c r="AK78" s="357"/>
      <c r="AL78" s="283"/>
      <c r="AM78" s="357"/>
      <c r="AN78" s="359"/>
      <c r="AO78" s="350"/>
      <c r="AP78" s="251"/>
      <c r="AQ78" s="351"/>
      <c r="AR78" s="388"/>
    </row>
    <row r="79" spans="1:44" s="19" customFormat="1" ht="16" x14ac:dyDescent="0.35">
      <c r="A79" s="313"/>
      <c r="B79" s="291"/>
      <c r="C79" s="291"/>
      <c r="D79" s="292"/>
      <c r="E79" s="292"/>
      <c r="F79" s="294"/>
      <c r="G79" s="294"/>
      <c r="H79" s="294"/>
      <c r="I79" s="295"/>
      <c r="J79" s="295"/>
      <c r="K79" s="295"/>
      <c r="L79" s="294"/>
      <c r="M79" s="294"/>
      <c r="N79" s="294"/>
      <c r="O79" s="292"/>
      <c r="P79" s="276">
        <f t="shared" si="7"/>
        <v>0</v>
      </c>
      <c r="Q79" s="277">
        <f t="shared" si="2"/>
        <v>0</v>
      </c>
      <c r="R79" s="278">
        <f t="shared" si="8"/>
        <v>0</v>
      </c>
      <c r="S79" s="278">
        <f t="shared" si="9"/>
        <v>0</v>
      </c>
      <c r="T79" s="278">
        <f t="shared" si="10"/>
        <v>0</v>
      </c>
      <c r="U79" s="279">
        <f t="shared" si="11"/>
        <v>0</v>
      </c>
      <c r="V79" s="373"/>
      <c r="W79" s="288"/>
      <c r="X79" s="296"/>
      <c r="Y79" s="380"/>
      <c r="Z79" s="379"/>
      <c r="AA79" s="301"/>
      <c r="AB79" s="375"/>
      <c r="AC79" s="303"/>
      <c r="AD79" s="304"/>
      <c r="AE79" s="302"/>
      <c r="AF79" s="303"/>
      <c r="AG79" s="304"/>
      <c r="AH79" s="302"/>
      <c r="AI79" s="303"/>
      <c r="AJ79" s="304"/>
      <c r="AK79" s="357"/>
      <c r="AL79" s="283"/>
      <c r="AM79" s="357"/>
      <c r="AN79" s="359"/>
      <c r="AO79" s="350"/>
      <c r="AP79" s="251"/>
      <c r="AQ79" s="351"/>
      <c r="AR79" s="388"/>
    </row>
    <row r="80" spans="1:44" s="19" customFormat="1" ht="16" x14ac:dyDescent="0.35">
      <c r="A80" s="313"/>
      <c r="B80" s="291"/>
      <c r="C80" s="291"/>
      <c r="D80" s="292"/>
      <c r="E80" s="292"/>
      <c r="F80" s="294"/>
      <c r="G80" s="294"/>
      <c r="H80" s="294"/>
      <c r="I80" s="295"/>
      <c r="J80" s="295"/>
      <c r="K80" s="295"/>
      <c r="L80" s="294"/>
      <c r="M80" s="294"/>
      <c r="N80" s="294"/>
      <c r="O80" s="292"/>
      <c r="P80" s="276">
        <f t="shared" si="7"/>
        <v>0</v>
      </c>
      <c r="Q80" s="277">
        <f t="shared" si="2"/>
        <v>0</v>
      </c>
      <c r="R80" s="278">
        <f t="shared" si="8"/>
        <v>0</v>
      </c>
      <c r="S80" s="278">
        <f t="shared" si="9"/>
        <v>0</v>
      </c>
      <c r="T80" s="278">
        <f t="shared" si="10"/>
        <v>0</v>
      </c>
      <c r="U80" s="279">
        <f t="shared" si="11"/>
        <v>0</v>
      </c>
      <c r="V80" s="373"/>
      <c r="W80" s="288"/>
      <c r="X80" s="296"/>
      <c r="Y80" s="380"/>
      <c r="Z80" s="379"/>
      <c r="AA80" s="301"/>
      <c r="AB80" s="375"/>
      <c r="AC80" s="303"/>
      <c r="AD80" s="304"/>
      <c r="AE80" s="302"/>
      <c r="AF80" s="303"/>
      <c r="AG80" s="304"/>
      <c r="AH80" s="302"/>
      <c r="AI80" s="303"/>
      <c r="AJ80" s="304"/>
      <c r="AK80" s="357"/>
      <c r="AL80" s="283"/>
      <c r="AM80" s="357"/>
      <c r="AN80" s="359"/>
      <c r="AO80" s="350"/>
      <c r="AP80" s="251"/>
      <c r="AQ80" s="351"/>
      <c r="AR80" s="388"/>
    </row>
    <row r="81" spans="1:44" s="19" customFormat="1" ht="16" x14ac:dyDescent="0.35">
      <c r="A81" s="313"/>
      <c r="B81" s="291"/>
      <c r="C81" s="291"/>
      <c r="D81" s="292"/>
      <c r="E81" s="292"/>
      <c r="F81" s="294"/>
      <c r="G81" s="294"/>
      <c r="H81" s="294"/>
      <c r="I81" s="295"/>
      <c r="J81" s="295"/>
      <c r="K81" s="295"/>
      <c r="L81" s="294"/>
      <c r="M81" s="294"/>
      <c r="N81" s="294"/>
      <c r="O81" s="292"/>
      <c r="P81" s="276">
        <f t="shared" si="7"/>
        <v>0</v>
      </c>
      <c r="Q81" s="277">
        <f t="shared" si="2"/>
        <v>0</v>
      </c>
      <c r="R81" s="278">
        <f t="shared" si="8"/>
        <v>0</v>
      </c>
      <c r="S81" s="278">
        <f t="shared" si="9"/>
        <v>0</v>
      </c>
      <c r="T81" s="278">
        <f t="shared" si="10"/>
        <v>0</v>
      </c>
      <c r="U81" s="279">
        <f t="shared" si="11"/>
        <v>0</v>
      </c>
      <c r="V81" s="373"/>
      <c r="W81" s="288"/>
      <c r="X81" s="296"/>
      <c r="Y81" s="380"/>
      <c r="Z81" s="379"/>
      <c r="AA81" s="301"/>
      <c r="AB81" s="375"/>
      <c r="AC81" s="303"/>
      <c r="AD81" s="304"/>
      <c r="AE81" s="302"/>
      <c r="AF81" s="303"/>
      <c r="AG81" s="304"/>
      <c r="AH81" s="302"/>
      <c r="AI81" s="303"/>
      <c r="AJ81" s="304"/>
      <c r="AK81" s="357"/>
      <c r="AL81" s="283"/>
      <c r="AM81" s="357"/>
      <c r="AN81" s="359"/>
      <c r="AO81" s="350"/>
      <c r="AP81" s="251"/>
      <c r="AQ81" s="351"/>
      <c r="AR81" s="388"/>
    </row>
    <row r="82" spans="1:44" s="19" customFormat="1" ht="16" x14ac:dyDescent="0.35">
      <c r="A82" s="313"/>
      <c r="B82" s="291"/>
      <c r="C82" s="291"/>
      <c r="D82" s="292"/>
      <c r="E82" s="292"/>
      <c r="F82" s="294"/>
      <c r="G82" s="294"/>
      <c r="H82" s="294"/>
      <c r="I82" s="295"/>
      <c r="J82" s="295"/>
      <c r="K82" s="295"/>
      <c r="L82" s="294"/>
      <c r="M82" s="294"/>
      <c r="N82" s="294"/>
      <c r="O82" s="292"/>
      <c r="P82" s="276">
        <f t="shared" si="7"/>
        <v>0</v>
      </c>
      <c r="Q82" s="277">
        <f t="shared" si="2"/>
        <v>0</v>
      </c>
      <c r="R82" s="278">
        <f t="shared" si="8"/>
        <v>0</v>
      </c>
      <c r="S82" s="278">
        <f t="shared" si="9"/>
        <v>0</v>
      </c>
      <c r="T82" s="278">
        <f t="shared" si="10"/>
        <v>0</v>
      </c>
      <c r="U82" s="279">
        <f t="shared" si="11"/>
        <v>0</v>
      </c>
      <c r="V82" s="373"/>
      <c r="W82" s="288"/>
      <c r="X82" s="296"/>
      <c r="Y82" s="380"/>
      <c r="Z82" s="379"/>
      <c r="AA82" s="301"/>
      <c r="AB82" s="375"/>
      <c r="AC82" s="303"/>
      <c r="AD82" s="304"/>
      <c r="AE82" s="302"/>
      <c r="AF82" s="303"/>
      <c r="AG82" s="304"/>
      <c r="AH82" s="302"/>
      <c r="AI82" s="303"/>
      <c r="AJ82" s="304"/>
      <c r="AK82" s="357"/>
      <c r="AL82" s="283"/>
      <c r="AM82" s="357"/>
      <c r="AN82" s="359"/>
      <c r="AO82" s="350"/>
      <c r="AP82" s="251"/>
      <c r="AQ82" s="351"/>
      <c r="AR82" s="388"/>
    </row>
    <row r="83" spans="1:44" s="19" customFormat="1" ht="16" x14ac:dyDescent="0.35">
      <c r="A83" s="313"/>
      <c r="B83" s="291"/>
      <c r="C83" s="291"/>
      <c r="D83" s="292"/>
      <c r="E83" s="292"/>
      <c r="F83" s="294"/>
      <c r="G83" s="294"/>
      <c r="H83" s="294"/>
      <c r="I83" s="295"/>
      <c r="J83" s="295"/>
      <c r="K83" s="295"/>
      <c r="L83" s="294"/>
      <c r="M83" s="294"/>
      <c r="N83" s="294"/>
      <c r="O83" s="292"/>
      <c r="P83" s="276">
        <f t="shared" si="7"/>
        <v>0</v>
      </c>
      <c r="Q83" s="277">
        <f t="shared" si="2"/>
        <v>0</v>
      </c>
      <c r="R83" s="278">
        <f t="shared" si="8"/>
        <v>0</v>
      </c>
      <c r="S83" s="278">
        <f t="shared" si="9"/>
        <v>0</v>
      </c>
      <c r="T83" s="278">
        <f t="shared" si="10"/>
        <v>0</v>
      </c>
      <c r="U83" s="279">
        <f t="shared" si="11"/>
        <v>0</v>
      </c>
      <c r="V83" s="373"/>
      <c r="W83" s="288"/>
      <c r="X83" s="296"/>
      <c r="Y83" s="380"/>
      <c r="Z83" s="379"/>
      <c r="AA83" s="301"/>
      <c r="AB83" s="375"/>
      <c r="AC83" s="303"/>
      <c r="AD83" s="304"/>
      <c r="AE83" s="302"/>
      <c r="AF83" s="303"/>
      <c r="AG83" s="304"/>
      <c r="AH83" s="302"/>
      <c r="AI83" s="303"/>
      <c r="AJ83" s="304"/>
      <c r="AK83" s="357"/>
      <c r="AL83" s="283"/>
      <c r="AM83" s="357"/>
      <c r="AN83" s="359"/>
      <c r="AO83" s="350"/>
      <c r="AP83" s="251"/>
      <c r="AQ83" s="351"/>
      <c r="AR83" s="388"/>
    </row>
    <row r="84" spans="1:44" s="19" customFormat="1" ht="16" x14ac:dyDescent="0.35">
      <c r="A84" s="313"/>
      <c r="B84" s="291"/>
      <c r="C84" s="291"/>
      <c r="D84" s="292"/>
      <c r="E84" s="292"/>
      <c r="F84" s="294"/>
      <c r="G84" s="294"/>
      <c r="H84" s="294"/>
      <c r="I84" s="295"/>
      <c r="J84" s="295"/>
      <c r="K84" s="295"/>
      <c r="L84" s="294"/>
      <c r="M84" s="294"/>
      <c r="N84" s="294"/>
      <c r="O84" s="292"/>
      <c r="P84" s="276">
        <f t="shared" si="7"/>
        <v>0</v>
      </c>
      <c r="Q84" s="277">
        <f t="shared" si="2"/>
        <v>0</v>
      </c>
      <c r="R84" s="278">
        <f t="shared" si="8"/>
        <v>0</v>
      </c>
      <c r="S84" s="278">
        <f t="shared" si="9"/>
        <v>0</v>
      </c>
      <c r="T84" s="278">
        <f t="shared" si="10"/>
        <v>0</v>
      </c>
      <c r="U84" s="279">
        <f t="shared" si="11"/>
        <v>0</v>
      </c>
      <c r="V84" s="373"/>
      <c r="W84" s="288"/>
      <c r="X84" s="296"/>
      <c r="Y84" s="380"/>
      <c r="Z84" s="379"/>
      <c r="AA84" s="301"/>
      <c r="AB84" s="375"/>
      <c r="AC84" s="303"/>
      <c r="AD84" s="304"/>
      <c r="AE84" s="302"/>
      <c r="AF84" s="303"/>
      <c r="AG84" s="304"/>
      <c r="AH84" s="302"/>
      <c r="AI84" s="303"/>
      <c r="AJ84" s="304"/>
      <c r="AK84" s="357"/>
      <c r="AL84" s="283"/>
      <c r="AM84" s="357"/>
      <c r="AN84" s="359"/>
      <c r="AO84" s="350"/>
      <c r="AP84" s="251"/>
      <c r="AQ84" s="351"/>
      <c r="AR84" s="388"/>
    </row>
    <row r="85" spans="1:44" s="19" customFormat="1" ht="16" x14ac:dyDescent="0.35">
      <c r="A85" s="313"/>
      <c r="B85" s="291"/>
      <c r="C85" s="291"/>
      <c r="D85" s="292"/>
      <c r="E85" s="292"/>
      <c r="F85" s="294"/>
      <c r="G85" s="294"/>
      <c r="H85" s="294"/>
      <c r="I85" s="295"/>
      <c r="J85" s="295"/>
      <c r="K85" s="295"/>
      <c r="L85" s="294"/>
      <c r="M85" s="294"/>
      <c r="N85" s="294"/>
      <c r="O85" s="292"/>
      <c r="P85" s="276">
        <f t="shared" si="7"/>
        <v>0</v>
      </c>
      <c r="Q85" s="277">
        <f t="shared" si="2"/>
        <v>0</v>
      </c>
      <c r="R85" s="278">
        <f t="shared" si="8"/>
        <v>0</v>
      </c>
      <c r="S85" s="278">
        <f t="shared" si="9"/>
        <v>0</v>
      </c>
      <c r="T85" s="278">
        <f t="shared" si="10"/>
        <v>0</v>
      </c>
      <c r="U85" s="279">
        <f t="shared" si="11"/>
        <v>0</v>
      </c>
      <c r="V85" s="373"/>
      <c r="W85" s="288"/>
      <c r="X85" s="296"/>
      <c r="Y85" s="380"/>
      <c r="Z85" s="379"/>
      <c r="AA85" s="301"/>
      <c r="AB85" s="375"/>
      <c r="AC85" s="303"/>
      <c r="AD85" s="304"/>
      <c r="AE85" s="302"/>
      <c r="AF85" s="303"/>
      <c r="AG85" s="304"/>
      <c r="AH85" s="302"/>
      <c r="AI85" s="303"/>
      <c r="AJ85" s="304"/>
      <c r="AK85" s="357"/>
      <c r="AL85" s="283"/>
      <c r="AM85" s="357"/>
      <c r="AN85" s="359"/>
      <c r="AO85" s="350"/>
      <c r="AP85" s="251"/>
      <c r="AQ85" s="351"/>
      <c r="AR85" s="388"/>
    </row>
    <row r="86" spans="1:44" s="19" customFormat="1" ht="16" x14ac:dyDescent="0.35">
      <c r="A86" s="313"/>
      <c r="B86" s="291"/>
      <c r="C86" s="291"/>
      <c r="D86" s="292"/>
      <c r="E86" s="292"/>
      <c r="F86" s="294"/>
      <c r="G86" s="294"/>
      <c r="H86" s="294"/>
      <c r="I86" s="295"/>
      <c r="J86" s="295"/>
      <c r="K86" s="295"/>
      <c r="L86" s="294"/>
      <c r="M86" s="294"/>
      <c r="N86" s="294"/>
      <c r="O86" s="292"/>
      <c r="P86" s="276">
        <f t="shared" si="7"/>
        <v>0</v>
      </c>
      <c r="Q86" s="277">
        <f t="shared" si="2"/>
        <v>0</v>
      </c>
      <c r="R86" s="278">
        <f t="shared" si="8"/>
        <v>0</v>
      </c>
      <c r="S86" s="278">
        <f t="shared" si="9"/>
        <v>0</v>
      </c>
      <c r="T86" s="278">
        <f t="shared" si="10"/>
        <v>0</v>
      </c>
      <c r="U86" s="279">
        <f t="shared" si="11"/>
        <v>0</v>
      </c>
      <c r="V86" s="373"/>
      <c r="W86" s="288"/>
      <c r="X86" s="296"/>
      <c r="Y86" s="380"/>
      <c r="Z86" s="379"/>
      <c r="AA86" s="301"/>
      <c r="AB86" s="375"/>
      <c r="AC86" s="303"/>
      <c r="AD86" s="304"/>
      <c r="AE86" s="302"/>
      <c r="AF86" s="303"/>
      <c r="AG86" s="304"/>
      <c r="AH86" s="302"/>
      <c r="AI86" s="303"/>
      <c r="AJ86" s="304"/>
      <c r="AK86" s="357"/>
      <c r="AL86" s="283"/>
      <c r="AM86" s="357"/>
      <c r="AN86" s="359"/>
      <c r="AO86" s="350"/>
      <c r="AP86" s="251"/>
      <c r="AQ86" s="351"/>
      <c r="AR86" s="388"/>
    </row>
    <row r="87" spans="1:44" s="19" customFormat="1" ht="16" x14ac:dyDescent="0.35">
      <c r="A87" s="313"/>
      <c r="B87" s="291"/>
      <c r="C87" s="291"/>
      <c r="D87" s="292"/>
      <c r="E87" s="292"/>
      <c r="F87" s="294"/>
      <c r="G87" s="294"/>
      <c r="H87" s="294"/>
      <c r="I87" s="295"/>
      <c r="J87" s="295"/>
      <c r="K87" s="295"/>
      <c r="L87" s="294"/>
      <c r="M87" s="294"/>
      <c r="N87" s="294"/>
      <c r="O87" s="292"/>
      <c r="P87" s="276">
        <f t="shared" si="7"/>
        <v>0</v>
      </c>
      <c r="Q87" s="277">
        <f t="shared" si="2"/>
        <v>0</v>
      </c>
      <c r="R87" s="278">
        <f t="shared" si="8"/>
        <v>0</v>
      </c>
      <c r="S87" s="278">
        <f t="shared" si="9"/>
        <v>0</v>
      </c>
      <c r="T87" s="278">
        <f t="shared" si="10"/>
        <v>0</v>
      </c>
      <c r="U87" s="279">
        <f t="shared" si="11"/>
        <v>0</v>
      </c>
      <c r="V87" s="373"/>
      <c r="W87" s="288"/>
      <c r="X87" s="296"/>
      <c r="Y87" s="380"/>
      <c r="Z87" s="379"/>
      <c r="AA87" s="301"/>
      <c r="AB87" s="375"/>
      <c r="AC87" s="303"/>
      <c r="AD87" s="304"/>
      <c r="AE87" s="302"/>
      <c r="AF87" s="303"/>
      <c r="AG87" s="304"/>
      <c r="AH87" s="302"/>
      <c r="AI87" s="303"/>
      <c r="AJ87" s="304"/>
      <c r="AK87" s="357"/>
      <c r="AL87" s="283"/>
      <c r="AM87" s="357"/>
      <c r="AN87" s="359"/>
      <c r="AO87" s="350"/>
      <c r="AP87" s="251"/>
      <c r="AQ87" s="351"/>
      <c r="AR87" s="388"/>
    </row>
    <row r="88" spans="1:44" s="19" customFormat="1" ht="16" x14ac:dyDescent="0.35">
      <c r="A88" s="313"/>
      <c r="B88" s="291"/>
      <c r="C88" s="291"/>
      <c r="D88" s="292"/>
      <c r="E88" s="292"/>
      <c r="F88" s="294"/>
      <c r="G88" s="294"/>
      <c r="H88" s="294"/>
      <c r="I88" s="295"/>
      <c r="J88" s="295"/>
      <c r="K88" s="295"/>
      <c r="L88" s="294"/>
      <c r="M88" s="294"/>
      <c r="N88" s="294"/>
      <c r="O88" s="292"/>
      <c r="P88" s="276">
        <f t="shared" si="7"/>
        <v>0</v>
      </c>
      <c r="Q88" s="277">
        <f t="shared" si="2"/>
        <v>0</v>
      </c>
      <c r="R88" s="278">
        <f t="shared" si="8"/>
        <v>0</v>
      </c>
      <c r="S88" s="278">
        <f t="shared" si="9"/>
        <v>0</v>
      </c>
      <c r="T88" s="278">
        <f t="shared" si="10"/>
        <v>0</v>
      </c>
      <c r="U88" s="279">
        <f t="shared" si="11"/>
        <v>0</v>
      </c>
      <c r="V88" s="373"/>
      <c r="W88" s="288"/>
      <c r="X88" s="296"/>
      <c r="Y88" s="380"/>
      <c r="Z88" s="379"/>
      <c r="AA88" s="301"/>
      <c r="AB88" s="375"/>
      <c r="AC88" s="303"/>
      <c r="AD88" s="304"/>
      <c r="AE88" s="302"/>
      <c r="AF88" s="303"/>
      <c r="AG88" s="304"/>
      <c r="AH88" s="302"/>
      <c r="AI88" s="303"/>
      <c r="AJ88" s="304"/>
      <c r="AK88" s="357"/>
      <c r="AL88" s="283"/>
      <c r="AM88" s="357"/>
      <c r="AN88" s="359"/>
      <c r="AO88" s="350"/>
      <c r="AP88" s="251"/>
      <c r="AQ88" s="351"/>
      <c r="AR88" s="388"/>
    </row>
    <row r="89" spans="1:44" s="19" customFormat="1" ht="16" x14ac:dyDescent="0.35">
      <c r="A89" s="313"/>
      <c r="B89" s="291"/>
      <c r="C89" s="291"/>
      <c r="D89" s="292"/>
      <c r="E89" s="292"/>
      <c r="F89" s="294"/>
      <c r="G89" s="294"/>
      <c r="H89" s="294"/>
      <c r="I89" s="295"/>
      <c r="J89" s="295"/>
      <c r="K89" s="295"/>
      <c r="L89" s="294"/>
      <c r="M89" s="294"/>
      <c r="N89" s="294"/>
      <c r="O89" s="292"/>
      <c r="P89" s="276">
        <f t="shared" si="7"/>
        <v>0</v>
      </c>
      <c r="Q89" s="277">
        <f t="shared" si="2"/>
        <v>0</v>
      </c>
      <c r="R89" s="278">
        <f t="shared" si="8"/>
        <v>0</v>
      </c>
      <c r="S89" s="278">
        <f t="shared" si="9"/>
        <v>0</v>
      </c>
      <c r="T89" s="278">
        <f t="shared" si="10"/>
        <v>0</v>
      </c>
      <c r="U89" s="279">
        <f t="shared" si="11"/>
        <v>0</v>
      </c>
      <c r="V89" s="373"/>
      <c r="W89" s="288"/>
      <c r="X89" s="296"/>
      <c r="Y89" s="380"/>
      <c r="Z89" s="379"/>
      <c r="AA89" s="301"/>
      <c r="AB89" s="375"/>
      <c r="AC89" s="303"/>
      <c r="AD89" s="304"/>
      <c r="AE89" s="302"/>
      <c r="AF89" s="303"/>
      <c r="AG89" s="304"/>
      <c r="AH89" s="302"/>
      <c r="AI89" s="303"/>
      <c r="AJ89" s="304"/>
      <c r="AK89" s="357"/>
      <c r="AL89" s="283"/>
      <c r="AM89" s="357"/>
      <c r="AN89" s="359"/>
      <c r="AO89" s="350"/>
      <c r="AP89" s="251"/>
      <c r="AQ89" s="351"/>
      <c r="AR89" s="388"/>
    </row>
    <row r="90" spans="1:44" s="36" customFormat="1" ht="16" x14ac:dyDescent="0.35">
      <c r="A90" s="313"/>
      <c r="B90" s="291"/>
      <c r="C90" s="291"/>
      <c r="D90" s="292"/>
      <c r="E90" s="292"/>
      <c r="F90" s="292"/>
      <c r="G90" s="292"/>
      <c r="H90" s="292"/>
      <c r="I90" s="292"/>
      <c r="J90" s="312"/>
      <c r="K90" s="292"/>
      <c r="L90" s="292"/>
      <c r="M90" s="292"/>
      <c r="N90" s="292"/>
      <c r="O90" s="292"/>
      <c r="P90" s="276">
        <f t="shared" si="7"/>
        <v>0</v>
      </c>
      <c r="Q90" s="277">
        <f t="shared" si="2"/>
        <v>0</v>
      </c>
      <c r="R90" s="278">
        <f t="shared" si="8"/>
        <v>0</v>
      </c>
      <c r="S90" s="278">
        <f t="shared" si="9"/>
        <v>0</v>
      </c>
      <c r="T90" s="278">
        <f t="shared" si="10"/>
        <v>0</v>
      </c>
      <c r="U90" s="279">
        <f t="shared" si="11"/>
        <v>0</v>
      </c>
      <c r="V90" s="373"/>
      <c r="W90" s="288"/>
      <c r="X90" s="296"/>
      <c r="Y90" s="380"/>
      <c r="Z90" s="379"/>
      <c r="AA90" s="301"/>
      <c r="AB90" s="375"/>
      <c r="AC90" s="303"/>
      <c r="AD90" s="304"/>
      <c r="AE90" s="302"/>
      <c r="AF90" s="303"/>
      <c r="AG90" s="304"/>
      <c r="AH90" s="302"/>
      <c r="AI90" s="303"/>
      <c r="AJ90" s="304"/>
      <c r="AK90" s="293"/>
      <c r="AL90" s="283"/>
      <c r="AM90" s="293"/>
      <c r="AN90" s="360"/>
      <c r="AO90" s="350"/>
      <c r="AP90" s="251"/>
      <c r="AQ90" s="351"/>
      <c r="AR90" s="388"/>
    </row>
    <row r="91" spans="1:44" s="19" customFormat="1" ht="16" x14ac:dyDescent="0.35">
      <c r="A91" s="313"/>
      <c r="B91" s="291"/>
      <c r="C91" s="291"/>
      <c r="D91" s="292"/>
      <c r="E91" s="292"/>
      <c r="F91" s="294"/>
      <c r="G91" s="294"/>
      <c r="H91" s="294"/>
      <c r="I91" s="295"/>
      <c r="J91" s="314"/>
      <c r="K91" s="295"/>
      <c r="L91" s="294"/>
      <c r="M91" s="294"/>
      <c r="N91" s="294"/>
      <c r="O91" s="292"/>
      <c r="P91" s="276">
        <f t="shared" si="7"/>
        <v>0</v>
      </c>
      <c r="Q91" s="277">
        <f t="shared" si="2"/>
        <v>0</v>
      </c>
      <c r="R91" s="278">
        <f t="shared" si="8"/>
        <v>0</v>
      </c>
      <c r="S91" s="278">
        <f t="shared" si="9"/>
        <v>0</v>
      </c>
      <c r="T91" s="278">
        <f t="shared" si="10"/>
        <v>0</v>
      </c>
      <c r="U91" s="279">
        <f t="shared" si="11"/>
        <v>0</v>
      </c>
      <c r="V91" s="373"/>
      <c r="W91" s="288"/>
      <c r="X91" s="296"/>
      <c r="Y91" s="380"/>
      <c r="Z91" s="379"/>
      <c r="AA91" s="301"/>
      <c r="AB91" s="375"/>
      <c r="AC91" s="303"/>
      <c r="AD91" s="304"/>
      <c r="AE91" s="302"/>
      <c r="AF91" s="303"/>
      <c r="AG91" s="304"/>
      <c r="AH91" s="302"/>
      <c r="AI91" s="303"/>
      <c r="AJ91" s="304"/>
      <c r="AK91" s="357"/>
      <c r="AL91" s="283"/>
      <c r="AM91" s="357"/>
      <c r="AN91" s="359"/>
      <c r="AO91" s="350"/>
      <c r="AP91" s="251"/>
      <c r="AQ91" s="351"/>
      <c r="AR91" s="388"/>
    </row>
    <row r="92" spans="1:44" s="19" customFormat="1" ht="16" x14ac:dyDescent="0.35">
      <c r="A92" s="313"/>
      <c r="B92" s="291"/>
      <c r="C92" s="291"/>
      <c r="D92" s="292"/>
      <c r="E92" s="292"/>
      <c r="F92" s="294"/>
      <c r="G92" s="294"/>
      <c r="H92" s="294"/>
      <c r="I92" s="295"/>
      <c r="J92" s="314"/>
      <c r="K92" s="295"/>
      <c r="L92" s="294"/>
      <c r="M92" s="294"/>
      <c r="N92" s="294"/>
      <c r="O92" s="292"/>
      <c r="P92" s="276">
        <f t="shared" si="7"/>
        <v>0</v>
      </c>
      <c r="Q92" s="277">
        <f t="shared" si="2"/>
        <v>0</v>
      </c>
      <c r="R92" s="278">
        <f t="shared" si="8"/>
        <v>0</v>
      </c>
      <c r="S92" s="278">
        <f t="shared" si="9"/>
        <v>0</v>
      </c>
      <c r="T92" s="278">
        <f t="shared" si="10"/>
        <v>0</v>
      </c>
      <c r="U92" s="279">
        <f t="shared" si="11"/>
        <v>0</v>
      </c>
      <c r="V92" s="373"/>
      <c r="W92" s="288"/>
      <c r="X92" s="296"/>
      <c r="Y92" s="380"/>
      <c r="Z92" s="379"/>
      <c r="AA92" s="301"/>
      <c r="AB92" s="375"/>
      <c r="AC92" s="303"/>
      <c r="AD92" s="304"/>
      <c r="AE92" s="302"/>
      <c r="AF92" s="303"/>
      <c r="AG92" s="304"/>
      <c r="AH92" s="302"/>
      <c r="AI92" s="303"/>
      <c r="AJ92" s="304"/>
      <c r="AK92" s="357"/>
      <c r="AL92" s="283"/>
      <c r="AM92" s="357"/>
      <c r="AN92" s="359"/>
      <c r="AO92" s="350"/>
      <c r="AP92" s="251"/>
      <c r="AQ92" s="351"/>
      <c r="AR92" s="388"/>
    </row>
    <row r="93" spans="1:44" s="19" customFormat="1" ht="16" x14ac:dyDescent="0.35">
      <c r="A93" s="445"/>
      <c r="B93" s="305"/>
      <c r="C93" s="305"/>
      <c r="D93" s="306"/>
      <c r="E93" s="306"/>
      <c r="F93" s="294"/>
      <c r="G93" s="315"/>
      <c r="H93" s="446"/>
      <c r="I93" s="307"/>
      <c r="J93" s="316"/>
      <c r="K93" s="307"/>
      <c r="L93" s="446"/>
      <c r="M93" s="446"/>
      <c r="N93" s="446"/>
      <c r="O93" s="306"/>
      <c r="P93" s="276">
        <f t="shared" si="7"/>
        <v>0</v>
      </c>
      <c r="Q93" s="277">
        <f t="shared" si="2"/>
        <v>0</v>
      </c>
      <c r="R93" s="278">
        <f t="shared" si="8"/>
        <v>0</v>
      </c>
      <c r="S93" s="278">
        <f t="shared" si="9"/>
        <v>0</v>
      </c>
      <c r="T93" s="278">
        <f t="shared" si="10"/>
        <v>0</v>
      </c>
      <c r="U93" s="279">
        <f t="shared" si="11"/>
        <v>0</v>
      </c>
      <c r="V93" s="373"/>
      <c r="W93" s="288"/>
      <c r="X93" s="296"/>
      <c r="Y93" s="380"/>
      <c r="Z93" s="379"/>
      <c r="AA93" s="301"/>
      <c r="AB93" s="376"/>
      <c r="AC93" s="309"/>
      <c r="AD93" s="310"/>
      <c r="AE93" s="308"/>
      <c r="AF93" s="309"/>
      <c r="AG93" s="310"/>
      <c r="AH93" s="308"/>
      <c r="AI93" s="309"/>
      <c r="AJ93" s="309"/>
      <c r="AK93" s="358"/>
      <c r="AL93" s="311"/>
      <c r="AM93" s="358"/>
      <c r="AN93" s="359"/>
      <c r="AO93" s="352"/>
      <c r="AP93" s="349"/>
      <c r="AQ93" s="353"/>
      <c r="AR93" s="389"/>
    </row>
    <row r="94" spans="1:44" s="19" customFormat="1" ht="15.65" customHeight="1" thickBot="1" x14ac:dyDescent="0.4">
      <c r="A94" s="37"/>
      <c r="B94" s="29"/>
      <c r="C94" s="38"/>
      <c r="D94" s="38"/>
      <c r="E94" s="38"/>
      <c r="F94" s="38"/>
      <c r="G94" s="38"/>
      <c r="H94" s="38"/>
      <c r="I94" s="38"/>
      <c r="J94" s="29"/>
      <c r="K94" s="38"/>
      <c r="L94" s="38"/>
      <c r="M94" s="38"/>
      <c r="N94" s="38"/>
      <c r="O94" s="38"/>
      <c r="P94" s="20">
        <f t="shared" si="7"/>
        <v>0</v>
      </c>
      <c r="Q94" s="222">
        <f t="shared" si="2"/>
        <v>0</v>
      </c>
      <c r="R94" s="348">
        <f t="shared" si="8"/>
        <v>0</v>
      </c>
      <c r="S94" s="348">
        <f t="shared" si="9"/>
        <v>0</v>
      </c>
      <c r="T94" s="348">
        <f t="shared" si="10"/>
        <v>0</v>
      </c>
      <c r="U94" s="368">
        <f t="shared" si="11"/>
        <v>0</v>
      </c>
      <c r="V94" s="339"/>
      <c r="W94" s="340"/>
      <c r="X94" s="31"/>
      <c r="Y94" s="354"/>
      <c r="Z94" s="355"/>
      <c r="AA94" s="186"/>
      <c r="AB94" s="184"/>
      <c r="AC94" s="185"/>
      <c r="AD94" s="186"/>
      <c r="AE94" s="187"/>
      <c r="AF94" s="185"/>
      <c r="AG94" s="186"/>
      <c r="AH94" s="187"/>
      <c r="AI94" s="185"/>
      <c r="AJ94" s="185"/>
      <c r="AK94" s="228"/>
      <c r="AL94" s="227"/>
      <c r="AM94" s="228"/>
      <c r="AN94" s="227"/>
      <c r="AO94" s="354"/>
      <c r="AP94" s="355"/>
      <c r="AQ94" s="186"/>
      <c r="AR94" s="227"/>
    </row>
    <row r="95" spans="1:44" ht="14.5" x14ac:dyDescent="0.35">
      <c r="J95"/>
    </row>
    <row r="96" spans="1:44" ht="14.5" x14ac:dyDescent="0.35">
      <c r="F96" s="15"/>
      <c r="J96"/>
    </row>
    <row r="97" spans="5:38" ht="14.5" x14ac:dyDescent="0.35">
      <c r="E97" t="s">
        <v>103</v>
      </c>
      <c r="F97" s="14" t="s">
        <v>324</v>
      </c>
      <c r="G97" t="s">
        <v>7</v>
      </c>
      <c r="J97"/>
      <c r="O97" s="14" t="s">
        <v>473</v>
      </c>
      <c r="P97" s="14"/>
      <c r="AL97" t="s">
        <v>521</v>
      </c>
    </row>
    <row r="98" spans="5:38" ht="14.5" x14ac:dyDescent="0.35">
      <c r="E98" t="s">
        <v>184</v>
      </c>
      <c r="F98" s="14" t="s">
        <v>332</v>
      </c>
      <c r="G98" t="s">
        <v>8</v>
      </c>
      <c r="J98"/>
      <c r="O98" s="14" t="s">
        <v>286</v>
      </c>
      <c r="P98" s="14"/>
      <c r="AL98" t="s">
        <v>522</v>
      </c>
    </row>
    <row r="99" spans="5:38" ht="14.5" x14ac:dyDescent="0.35">
      <c r="E99" t="s">
        <v>263</v>
      </c>
      <c r="F99" s="14" t="s">
        <v>383</v>
      </c>
      <c r="G99" t="s">
        <v>478</v>
      </c>
      <c r="J99"/>
      <c r="O99" s="14" t="s">
        <v>190</v>
      </c>
      <c r="P99" s="14"/>
      <c r="AL99" t="s">
        <v>523</v>
      </c>
    </row>
    <row r="100" spans="5:38" ht="14.5" x14ac:dyDescent="0.35">
      <c r="F100" s="14" t="s">
        <v>427</v>
      </c>
      <c r="G100" t="s">
        <v>10</v>
      </c>
      <c r="J100"/>
      <c r="O100" s="14" t="s">
        <v>476</v>
      </c>
      <c r="P100" s="14"/>
      <c r="AL100" t="s">
        <v>524</v>
      </c>
    </row>
    <row r="101" spans="5:38" ht="14.5" x14ac:dyDescent="0.35">
      <c r="F101" s="14" t="s">
        <v>104</v>
      </c>
      <c r="J101"/>
      <c r="O101" s="14" t="s">
        <v>18</v>
      </c>
      <c r="P101" s="14"/>
      <c r="AL101" t="s">
        <v>525</v>
      </c>
    </row>
    <row r="102" spans="5:38" ht="14.5" x14ac:dyDescent="0.35">
      <c r="F102" s="14" t="s">
        <v>310</v>
      </c>
      <c r="J102"/>
      <c r="O102" s="14" t="s">
        <v>477</v>
      </c>
      <c r="P102" s="14"/>
    </row>
    <row r="103" spans="5:38" ht="14.5" x14ac:dyDescent="0.35">
      <c r="F103" s="14" t="s">
        <v>185</v>
      </c>
      <c r="J103"/>
      <c r="O103" s="14" t="s">
        <v>112</v>
      </c>
    </row>
    <row r="104" spans="5:38" ht="14.5" x14ac:dyDescent="0.35">
      <c r="F104" s="14" t="s">
        <v>194</v>
      </c>
      <c r="J104"/>
    </row>
    <row r="105" spans="5:38" ht="14.5" x14ac:dyDescent="0.35">
      <c r="F105" s="14" t="s">
        <v>126</v>
      </c>
      <c r="J105"/>
    </row>
    <row r="106" spans="5:38" ht="14.5" x14ac:dyDescent="0.35">
      <c r="F106" s="14" t="s">
        <v>479</v>
      </c>
      <c r="J106"/>
    </row>
    <row r="107" spans="5:38" ht="14.5" x14ac:dyDescent="0.35">
      <c r="F107" s="14" t="s">
        <v>119</v>
      </c>
      <c r="J107"/>
    </row>
    <row r="108" spans="5:38" ht="14.5" x14ac:dyDescent="0.35">
      <c r="F108" s="14" t="s">
        <v>480</v>
      </c>
      <c r="J108"/>
    </row>
    <row r="109" spans="5:38" ht="14.5" x14ac:dyDescent="0.35">
      <c r="F109" s="14" t="s">
        <v>481</v>
      </c>
      <c r="J109"/>
    </row>
    <row r="110" spans="5:38" ht="14.5" x14ac:dyDescent="0.35">
      <c r="F110" s="14" t="s">
        <v>462</v>
      </c>
      <c r="J110"/>
    </row>
    <row r="111" spans="5:38" ht="14.5" x14ac:dyDescent="0.35">
      <c r="F111" s="14" t="s">
        <v>482</v>
      </c>
      <c r="J111"/>
    </row>
    <row r="112" spans="5:38" ht="14.5" x14ac:dyDescent="0.35">
      <c r="F112" s="14" t="s">
        <v>484</v>
      </c>
      <c r="J112"/>
    </row>
    <row r="113" spans="6:10" ht="14.5" x14ac:dyDescent="0.35">
      <c r="F113" s="14" t="s">
        <v>279</v>
      </c>
      <c r="J113"/>
    </row>
    <row r="114" spans="6:10" ht="14.5" x14ac:dyDescent="0.35">
      <c r="F114" s="14" t="s">
        <v>485</v>
      </c>
      <c r="J114"/>
    </row>
    <row r="115" spans="6:10" ht="14.5" x14ac:dyDescent="0.35">
      <c r="F115" s="14" t="s">
        <v>271</v>
      </c>
      <c r="J115"/>
    </row>
    <row r="116" spans="6:10" ht="14.5" x14ac:dyDescent="0.35">
      <c r="I116" s="3"/>
      <c r="J116"/>
    </row>
    <row r="117" spans="6:10" ht="14.5" x14ac:dyDescent="0.35">
      <c r="H117" s="3"/>
      <c r="J117"/>
    </row>
  </sheetData>
  <sheetProtection algorithmName="SHA-512" hashValue="oe12EInM4HkNXF55gVc2cUwFnZ7BbBAx/Gii7n7m2Q3N0Q9TiQMwTIxWPjEqkufgQG6nH9QWpR2Czo7BAu4Z4Q==" saltValue="//xX2GZZpFEM94J2YTmiDQ==" spinCount="100000" sheet="1" objects="1" scenarios="1"/>
  <mergeCells count="22">
    <mergeCell ref="B2:D2"/>
    <mergeCell ref="V32:AJ32"/>
    <mergeCell ref="Q34:U34"/>
    <mergeCell ref="K28:Q28"/>
    <mergeCell ref="V33:X33"/>
    <mergeCell ref="Y33:AA33"/>
    <mergeCell ref="AB33:AD33"/>
    <mergeCell ref="AE33:AG33"/>
    <mergeCell ref="AH33:AJ33"/>
    <mergeCell ref="B20:I20"/>
    <mergeCell ref="K20:Q20"/>
    <mergeCell ref="B17:I17"/>
    <mergeCell ref="K17:Q17"/>
    <mergeCell ref="K19:Q19"/>
    <mergeCell ref="AO32:AQ32"/>
    <mergeCell ref="AO33:AQ33"/>
    <mergeCell ref="K22:Q22"/>
    <mergeCell ref="B23:I23"/>
    <mergeCell ref="K23:Q23"/>
    <mergeCell ref="K25:Q25"/>
    <mergeCell ref="B26:I26"/>
    <mergeCell ref="K26:Q26"/>
  </mergeCells>
  <dataValidations count="11">
    <dataValidation type="whole" allowBlank="1" showInputMessage="1" showErrorMessage="1" sqref="B22:I22 B25:I25 C28:I28" xr:uid="{6354FB09-3F04-481D-AA34-7454226EDE46}">
      <formula1>0</formula1>
      <formula2>100</formula2>
    </dataValidation>
    <dataValidation type="whole" allowBlank="1" showInputMessage="1" showErrorMessage="1" sqref="B19:I19" xr:uid="{3980CC6E-838C-41F0-8A69-93F3C95A17B4}">
      <formula1>0</formula1>
      <formula2>10000000</formula2>
    </dataValidation>
    <dataValidation type="list" allowBlank="1" showInputMessage="1" showErrorMessage="1" sqref="AL90:AL93" xr:uid="{CA4B89F0-D22F-4B8D-9164-4A6A1F094AC1}">
      <formula1>$AL$37:$AL$39</formula1>
    </dataValidation>
    <dataValidation type="list" allowBlank="1" showInputMessage="1" showErrorMessage="1" sqref="AL94" xr:uid="{27A462FF-1E33-497F-93FF-47302DEF6B27}">
      <formula1>$AL$97:$AL$101</formula1>
    </dataValidation>
    <dataValidation type="list" allowBlank="1" showInputMessage="1" showErrorMessage="1" sqref="G35:G94" xr:uid="{9D04FCB4-CBA8-47F4-9F40-087056B86FCA}">
      <formula1>$G$97:$G$100</formula1>
    </dataValidation>
    <dataValidation type="list" allowBlank="1" showInputMessage="1" showErrorMessage="1" sqref="F35:F94" xr:uid="{5688C0C7-B0C9-407E-8442-265EC5E5FE4E}">
      <formula1>$F$97:$F$115</formula1>
    </dataValidation>
    <dataValidation type="list" allowBlank="1" showInputMessage="1" showErrorMessage="1" sqref="E35:E94" xr:uid="{2025EB9E-EEB3-4670-8C14-06C466A53E87}">
      <formula1>$E$97:$E$99</formula1>
    </dataValidation>
    <dataValidation type="list" allowBlank="1" showInputMessage="1" showErrorMessage="1" sqref="O35:O94" xr:uid="{85CB3776-0F40-4C30-8DD6-0012CABB02A5}">
      <formula1>$O$97:$O$103</formula1>
    </dataValidation>
    <dataValidation type="list" allowBlank="1" showInputMessage="1" showErrorMessage="1" sqref="AL73:AL81 AL87 AL35:AL71" xr:uid="{BA5FCC99-68C8-4A5E-9440-203A165E13C8}">
      <formula1>$AL$100:$AL$104</formula1>
    </dataValidation>
    <dataValidation type="list" allowBlank="1" showInputMessage="1" showErrorMessage="1" sqref="F117:F151 F31:F32" xr:uid="{03D7859E-A6E5-4C17-B004-E760432DB308}">
      <formula1>$F$3:$I$3</formula1>
    </dataValidation>
    <dataValidation type="list" allowBlank="1" showInputMessage="1" showErrorMessage="1" sqref="O118:O150 O31:O32 N116 M117" xr:uid="{BBFFE4F5-B39E-4BD3-A228-9D07A2CADEDD}">
      <formula1>$Q$19:$Q$22</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1C13A-16C7-4C54-A80F-3B0B5488E0B7}">
  <sheetPr codeName="Leht3"/>
  <dimension ref="A2:L26"/>
  <sheetViews>
    <sheetView zoomScale="70" zoomScaleNormal="70" workbookViewId="0">
      <selection activeCell="K17" sqref="K17"/>
    </sheetView>
  </sheetViews>
  <sheetFormatPr defaultColWidth="8.81640625" defaultRowHeight="14.5" x14ac:dyDescent="0.35"/>
  <cols>
    <col min="1" max="1" width="52.1796875" style="39" customWidth="1"/>
    <col min="2" max="5" width="11.81640625" style="39" customWidth="1"/>
    <col min="6" max="12" width="14.81640625" style="39" customWidth="1"/>
    <col min="13" max="16384" width="8.81640625" style="39"/>
  </cols>
  <sheetData>
    <row r="2" spans="1:12" ht="15" thickBot="1" x14ac:dyDescent="0.4"/>
    <row r="3" spans="1:12" ht="156.5" thickBot="1" x14ac:dyDescent="0.4">
      <c r="A3" s="381" t="s">
        <v>526</v>
      </c>
      <c r="B3" s="40" t="s">
        <v>487</v>
      </c>
      <c r="C3" s="40">
        <v>2023</v>
      </c>
      <c r="D3" s="40">
        <v>2024</v>
      </c>
      <c r="E3" s="40">
        <v>2025</v>
      </c>
      <c r="F3" s="108" t="s">
        <v>527</v>
      </c>
      <c r="G3" s="109" t="s">
        <v>528</v>
      </c>
      <c r="H3" s="109" t="s">
        <v>529</v>
      </c>
      <c r="I3" s="109" t="s">
        <v>530</v>
      </c>
      <c r="J3" s="109" t="s">
        <v>531</v>
      </c>
      <c r="K3" s="109" t="s">
        <v>532</v>
      </c>
      <c r="L3" s="110" t="s">
        <v>533</v>
      </c>
    </row>
    <row r="4" spans="1:12" x14ac:dyDescent="0.35">
      <c r="A4" s="382" t="s">
        <v>534</v>
      </c>
      <c r="B4" s="41"/>
      <c r="C4" s="41"/>
      <c r="D4" s="42"/>
      <c r="E4" s="42"/>
      <c r="L4" s="43"/>
    </row>
    <row r="5" spans="1:12" x14ac:dyDescent="0.35">
      <c r="A5" s="76" t="s">
        <v>7</v>
      </c>
      <c r="B5" s="107">
        <f>SUM(C5:E5)</f>
        <v>3165860</v>
      </c>
      <c r="C5" s="44">
        <f>Tegevuskava!D23</f>
        <v>0</v>
      </c>
      <c r="D5" s="44">
        <f>Tegevuskava!E23</f>
        <v>1255360</v>
      </c>
      <c r="E5" s="44">
        <f>Tegevuskava!F23</f>
        <v>1910500</v>
      </c>
      <c r="F5" s="45" t="s">
        <v>535</v>
      </c>
      <c r="G5" s="45" t="s">
        <v>535</v>
      </c>
      <c r="H5" s="45" t="s">
        <v>535</v>
      </c>
      <c r="I5" s="45" t="s">
        <v>535</v>
      </c>
      <c r="J5" s="45" t="s">
        <v>535</v>
      </c>
      <c r="K5" s="45" t="s">
        <v>535</v>
      </c>
      <c r="L5" s="46" t="s">
        <v>535</v>
      </c>
    </row>
    <row r="6" spans="1:12" ht="24" x14ac:dyDescent="0.35">
      <c r="A6" s="76" t="s">
        <v>536</v>
      </c>
      <c r="B6" s="107">
        <f t="shared" ref="B6:B8" si="0">SUM(C6:E6)</f>
        <v>36600</v>
      </c>
      <c r="C6" s="44">
        <f>Tegevuskava!D24</f>
        <v>0</v>
      </c>
      <c r="D6" s="44">
        <f>Tegevuskava!E24</f>
        <v>36600</v>
      </c>
      <c r="E6" s="44">
        <f>Tegevuskava!F24</f>
        <v>0</v>
      </c>
      <c r="F6" s="45" t="s">
        <v>535</v>
      </c>
      <c r="G6" s="45" t="s">
        <v>535</v>
      </c>
      <c r="H6" s="45" t="s">
        <v>535</v>
      </c>
      <c r="I6" s="45" t="s">
        <v>535</v>
      </c>
      <c r="J6" s="45" t="s">
        <v>535</v>
      </c>
      <c r="K6" s="45" t="s">
        <v>535</v>
      </c>
      <c r="L6" s="46" t="s">
        <v>535</v>
      </c>
    </row>
    <row r="7" spans="1:12" ht="36" x14ac:dyDescent="0.35">
      <c r="A7" s="76" t="s">
        <v>537</v>
      </c>
      <c r="B7" s="107">
        <f t="shared" si="0"/>
        <v>1170575.2</v>
      </c>
      <c r="C7" s="44">
        <f>Tegevuskava!D25</f>
        <v>24685.199999999997</v>
      </c>
      <c r="D7" s="44">
        <f>Tegevuskava!E25</f>
        <v>558140</v>
      </c>
      <c r="E7" s="44">
        <f>Tegevuskava!F25</f>
        <v>587750</v>
      </c>
      <c r="F7" s="45" t="s">
        <v>535</v>
      </c>
      <c r="G7" s="45" t="s">
        <v>535</v>
      </c>
      <c r="H7" s="45" t="s">
        <v>535</v>
      </c>
      <c r="I7" s="45" t="s">
        <v>535</v>
      </c>
      <c r="J7" s="45" t="s">
        <v>535</v>
      </c>
      <c r="K7" s="45" t="s">
        <v>535</v>
      </c>
      <c r="L7" s="46" t="s">
        <v>535</v>
      </c>
    </row>
    <row r="8" spans="1:12" ht="24.5" thickBot="1" x14ac:dyDescent="0.4">
      <c r="A8" s="77" t="s">
        <v>538</v>
      </c>
      <c r="B8" s="107">
        <f t="shared" si="0"/>
        <v>244000</v>
      </c>
      <c r="C8" s="44">
        <f>Tegevuskava!D26</f>
        <v>0</v>
      </c>
      <c r="D8" s="44">
        <f>Tegevuskava!E26</f>
        <v>244000</v>
      </c>
      <c r="E8" s="44">
        <f>Tegevuskava!F26</f>
        <v>0</v>
      </c>
      <c r="F8" s="45" t="s">
        <v>535</v>
      </c>
      <c r="G8" s="45" t="s">
        <v>535</v>
      </c>
      <c r="H8" s="45" t="s">
        <v>535</v>
      </c>
      <c r="I8" s="45" t="s">
        <v>535</v>
      </c>
      <c r="J8" s="45" t="s">
        <v>535</v>
      </c>
      <c r="K8" s="45" t="s">
        <v>535</v>
      </c>
      <c r="L8" s="46" t="s">
        <v>535</v>
      </c>
    </row>
    <row r="9" spans="1:12" ht="15" thickBot="1" x14ac:dyDescent="0.4">
      <c r="A9" s="47" t="s">
        <v>539</v>
      </c>
      <c r="B9" s="106">
        <f>SUM(B5:B8)</f>
        <v>4617035.2</v>
      </c>
      <c r="C9" s="106">
        <f>SUM(C5:C8)</f>
        <v>24685.199999999997</v>
      </c>
      <c r="D9" s="106">
        <f>SUM(D5:D8)</f>
        <v>2094100</v>
      </c>
      <c r="E9" s="106">
        <f>SUM(E5:E8)</f>
        <v>2498250</v>
      </c>
      <c r="F9" s="48"/>
      <c r="G9" s="48"/>
      <c r="H9" s="48"/>
      <c r="I9" s="48"/>
      <c r="J9" s="48"/>
      <c r="K9" s="48"/>
      <c r="L9" s="49"/>
    </row>
    <row r="10" spans="1:12" ht="15" thickBot="1" x14ac:dyDescent="0.4"/>
    <row r="11" spans="1:12" x14ac:dyDescent="0.35">
      <c r="A11" s="50" t="s">
        <v>25</v>
      </c>
      <c r="B11" s="1004" t="s">
        <v>26</v>
      </c>
      <c r="C11" s="1005"/>
      <c r="D11" s="1005"/>
      <c r="E11" s="1005"/>
      <c r="F11" s="1005"/>
      <c r="G11" s="1005"/>
      <c r="H11" s="1005"/>
      <c r="I11" s="1046"/>
    </row>
    <row r="12" spans="1:12" ht="29" x14ac:dyDescent="0.35">
      <c r="A12" s="51" t="s">
        <v>29</v>
      </c>
      <c r="B12" s="111" t="s">
        <v>540</v>
      </c>
      <c r="C12" s="112" t="s">
        <v>541</v>
      </c>
      <c r="D12" s="112" t="s">
        <v>542</v>
      </c>
      <c r="E12" s="112" t="s">
        <v>543</v>
      </c>
      <c r="F12" s="112" t="s">
        <v>544</v>
      </c>
      <c r="G12" s="112" t="s">
        <v>545</v>
      </c>
      <c r="H12" s="112" t="s">
        <v>546</v>
      </c>
      <c r="I12" s="113" t="s">
        <v>547</v>
      </c>
    </row>
    <row r="13" spans="1:12" ht="15" thickBot="1" x14ac:dyDescent="0.4">
      <c r="A13" s="52" t="s">
        <v>38</v>
      </c>
      <c r="B13" s="114">
        <f>'kuni 2025 detsember tegevuskava'!B19</f>
        <v>0</v>
      </c>
      <c r="C13" s="114">
        <f>'kuni 2025 detsember tegevuskava'!C19</f>
        <v>5000</v>
      </c>
      <c r="D13" s="114">
        <f>'kuni 2025 detsember tegevuskava'!D19</f>
        <v>10000</v>
      </c>
      <c r="E13" s="114">
        <f>'kuni 2025 detsember tegevuskava'!E19</f>
        <v>18000</v>
      </c>
      <c r="F13" s="114">
        <f>'kuni 2025 detsember tegevuskava'!F19</f>
        <v>28000</v>
      </c>
      <c r="G13" s="114">
        <f>'kuni 2025 detsember tegevuskava'!G19</f>
        <v>30000</v>
      </c>
      <c r="H13" s="114">
        <f>'kuni 2025 detsember tegevuskava'!H19</f>
        <v>30000</v>
      </c>
      <c r="I13" s="115">
        <f>'kuni 2025 detsember tegevuskava'!I19</f>
        <v>30000</v>
      </c>
    </row>
    <row r="14" spans="1:12" x14ac:dyDescent="0.35">
      <c r="A14" s="50" t="s">
        <v>41</v>
      </c>
      <c r="B14" s="1004" t="s">
        <v>42</v>
      </c>
      <c r="C14" s="1005"/>
      <c r="D14" s="1005"/>
      <c r="E14" s="1005"/>
      <c r="F14" s="1005"/>
      <c r="G14" s="1005"/>
      <c r="H14" s="1005"/>
      <c r="I14" s="1046"/>
    </row>
    <row r="15" spans="1:12" ht="29" x14ac:dyDescent="0.35">
      <c r="A15" s="51" t="s">
        <v>29</v>
      </c>
      <c r="B15" s="111" t="s">
        <v>540</v>
      </c>
      <c r="C15" s="112" t="s">
        <v>541</v>
      </c>
      <c r="D15" s="112" t="s">
        <v>542</v>
      </c>
      <c r="E15" s="112" t="s">
        <v>543</v>
      </c>
      <c r="F15" s="112" t="s">
        <v>544</v>
      </c>
      <c r="G15" s="112" t="s">
        <v>545</v>
      </c>
      <c r="H15" s="112" t="s">
        <v>546</v>
      </c>
      <c r="I15" s="113" t="s">
        <v>547</v>
      </c>
    </row>
    <row r="16" spans="1:12" ht="15" thickBot="1" x14ac:dyDescent="0.4">
      <c r="A16" s="52" t="s">
        <v>38</v>
      </c>
      <c r="B16" s="114">
        <f>'kuni 2025 detsember tegevuskava'!B22</f>
        <v>0</v>
      </c>
      <c r="C16" s="114">
        <f>'kuni 2025 detsember tegevuskava'!C22</f>
        <v>2</v>
      </c>
      <c r="D16" s="114">
        <f>'kuni 2025 detsember tegevuskava'!D22</f>
        <v>30</v>
      </c>
      <c r="E16" s="114">
        <f>'kuni 2025 detsember tegevuskava'!E22</f>
        <v>50</v>
      </c>
      <c r="F16" s="114">
        <f>'kuni 2025 detsember tegevuskava'!F22</f>
        <v>80</v>
      </c>
      <c r="G16" s="114">
        <f>'kuni 2025 detsember tegevuskava'!G22</f>
        <v>84</v>
      </c>
      <c r="H16" s="114">
        <f>'kuni 2025 detsember tegevuskava'!H22</f>
        <v>84</v>
      </c>
      <c r="I16" s="115">
        <f>'kuni 2025 detsember tegevuskava'!I22</f>
        <v>84</v>
      </c>
    </row>
    <row r="17" spans="1:9" x14ac:dyDescent="0.35">
      <c r="A17" s="50" t="s">
        <v>41</v>
      </c>
      <c r="B17" s="1004" t="s">
        <v>46</v>
      </c>
      <c r="C17" s="1005"/>
      <c r="D17" s="1005"/>
      <c r="E17" s="1005"/>
      <c r="F17" s="1005"/>
      <c r="G17" s="1005"/>
      <c r="H17" s="1005"/>
      <c r="I17" s="1046"/>
    </row>
    <row r="18" spans="1:9" ht="29" x14ac:dyDescent="0.35">
      <c r="A18" s="51" t="s">
        <v>29</v>
      </c>
      <c r="B18" s="111" t="s">
        <v>540</v>
      </c>
      <c r="C18" s="112" t="s">
        <v>541</v>
      </c>
      <c r="D18" s="112" t="s">
        <v>542</v>
      </c>
      <c r="E18" s="112" t="s">
        <v>543</v>
      </c>
      <c r="F18" s="112" t="s">
        <v>544</v>
      </c>
      <c r="G18" s="112" t="s">
        <v>545</v>
      </c>
      <c r="H18" s="112" t="s">
        <v>546</v>
      </c>
      <c r="I18" s="113" t="s">
        <v>547</v>
      </c>
    </row>
    <row r="19" spans="1:9" x14ac:dyDescent="0.35">
      <c r="A19" s="459" t="s">
        <v>38</v>
      </c>
      <c r="B19" s="460">
        <v>1</v>
      </c>
      <c r="C19" s="460">
        <f>'kuni 2025 detsember tegevuskava'!C25</f>
        <v>4</v>
      </c>
      <c r="D19" s="460">
        <f>'kuni 2025 detsember tegevuskava'!D25</f>
        <v>5</v>
      </c>
      <c r="E19" s="460">
        <f>'kuni 2025 detsember tegevuskava'!E25</f>
        <v>5</v>
      </c>
      <c r="F19" s="460">
        <f>'kuni 2025 detsember tegevuskava'!F25</f>
        <v>6</v>
      </c>
      <c r="G19" s="460">
        <f>'kuni 2025 detsember tegevuskava'!G25</f>
        <v>7</v>
      </c>
      <c r="H19" s="460">
        <f>'kuni 2025 detsember tegevuskava'!H25</f>
        <v>7</v>
      </c>
      <c r="I19" s="461">
        <f>'kuni 2025 detsember tegevuskava'!I25</f>
        <v>7</v>
      </c>
    </row>
    <row r="20" spans="1:9" ht="29" x14ac:dyDescent="0.35">
      <c r="A20" s="453" t="s">
        <v>50</v>
      </c>
      <c r="B20" s="1047" t="s">
        <v>51</v>
      </c>
      <c r="C20" s="1048"/>
      <c r="D20" s="1048"/>
      <c r="E20" s="1048"/>
      <c r="F20" s="1048"/>
      <c r="G20" s="1048"/>
      <c r="H20" s="1048"/>
      <c r="I20" s="1049"/>
    </row>
    <row r="21" spans="1:9" ht="29" x14ac:dyDescent="0.35">
      <c r="A21" s="454" t="s">
        <v>29</v>
      </c>
      <c r="B21" s="111" t="s">
        <v>540</v>
      </c>
      <c r="C21" s="112" t="s">
        <v>541</v>
      </c>
      <c r="D21" s="112" t="s">
        <v>542</v>
      </c>
      <c r="E21" s="112" t="s">
        <v>543</v>
      </c>
      <c r="F21" s="112" t="s">
        <v>544</v>
      </c>
      <c r="G21" s="112" t="s">
        <v>545</v>
      </c>
      <c r="H21" s="112" t="s">
        <v>546</v>
      </c>
      <c r="I21" s="455" t="s">
        <v>547</v>
      </c>
    </row>
    <row r="22" spans="1:9" x14ac:dyDescent="0.35">
      <c r="A22" s="456" t="s">
        <v>38</v>
      </c>
      <c r="B22" s="457" t="str">
        <f>'kuni 2025 detsember tegevuskava'!B28&amp;"%"</f>
        <v>0%</v>
      </c>
      <c r="C22" s="457" t="str">
        <f>'kuni 2025 detsember tegevuskava'!C28&amp;"%"</f>
        <v>0%</v>
      </c>
      <c r="D22" s="457" t="str">
        <f>'kuni 2025 detsember tegevuskava'!D28&amp;"%"</f>
        <v>70%</v>
      </c>
      <c r="E22" s="457" t="str">
        <f>'kuni 2025 detsember tegevuskava'!E28&amp;"%"</f>
        <v>80%</v>
      </c>
      <c r="F22" s="457" t="str">
        <f>'kuni 2025 detsember tegevuskava'!F28&amp;"%"</f>
        <v>82%</v>
      </c>
      <c r="G22" s="457" t="str">
        <f>'kuni 2025 detsember tegevuskava'!G28&amp;"%"</f>
        <v>85%</v>
      </c>
      <c r="H22" s="457" t="str">
        <f>'kuni 2025 detsember tegevuskava'!H28&amp;"%"</f>
        <v>88%</v>
      </c>
      <c r="I22" s="458" t="str">
        <f>'kuni 2025 detsember tegevuskava'!I28&amp;"%"</f>
        <v>90%</v>
      </c>
    </row>
    <row r="25" spans="1:9" x14ac:dyDescent="0.35">
      <c r="A25" s="53"/>
    </row>
    <row r="26" spans="1:9" x14ac:dyDescent="0.35">
      <c r="A26" s="53"/>
    </row>
  </sheetData>
  <sheetProtection algorithmName="SHA-512" hashValue="L/KDwIZCTT/DW8lLq/2vzBwt36zwMQMNtn+L1KXFvMYrqACyxWxOY7n33bsTFX4dkqUIO8sp5vdc/rId+DUPrQ==" saltValue="gT3wbucJYZvfzUq6k/iqyQ==" spinCount="100000" sheet="1" objects="1" scenarios="1"/>
  <mergeCells count="4">
    <mergeCell ref="B17:I17"/>
    <mergeCell ref="B20:I20"/>
    <mergeCell ref="B11:I11"/>
    <mergeCell ref="B14:I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93734-566D-4164-9349-C7CB173FC323}">
  <sheetPr codeName="Leht4"/>
  <dimension ref="A2:AH258"/>
  <sheetViews>
    <sheetView tabSelected="1" topLeftCell="A7" zoomScale="90" zoomScaleNormal="90" workbookViewId="0">
      <selection activeCell="D192" sqref="D192:D196"/>
    </sheetView>
  </sheetViews>
  <sheetFormatPr defaultColWidth="8.81640625" defaultRowHeight="14.5" x14ac:dyDescent="0.35"/>
  <cols>
    <col min="1" max="1" width="2.81640625" style="1" customWidth="1"/>
    <col min="2" max="2" width="18.81640625" style="1" customWidth="1"/>
    <col min="3" max="3" width="32.54296875" style="1" customWidth="1"/>
    <col min="4" max="4" width="43.81640625" style="1" customWidth="1"/>
    <col min="5" max="5" width="35.1796875" style="1" customWidth="1"/>
    <col min="6" max="6" width="11.1796875" style="1" customWidth="1"/>
    <col min="7" max="7" width="2" style="1" customWidth="1"/>
    <col min="8" max="8" width="2.54296875" style="1" customWidth="1"/>
    <col min="9" max="9" width="10.54296875" style="1" customWidth="1"/>
    <col min="10" max="10" width="4.453125" style="1" customWidth="1"/>
    <col min="11" max="11" width="11.54296875" style="1" customWidth="1"/>
    <col min="12" max="12" width="4.453125" style="1" customWidth="1"/>
    <col min="13" max="13" width="11.81640625" style="1" customWidth="1"/>
    <col min="14" max="14" width="3.81640625" style="1" customWidth="1"/>
    <col min="15" max="15" width="11.453125" style="1" customWidth="1"/>
    <col min="16" max="16" width="4.453125" style="1" customWidth="1"/>
    <col min="17" max="19" width="10.81640625" style="1" customWidth="1"/>
    <col min="20" max="20" width="10.54296875" style="1" customWidth="1"/>
    <col min="21" max="16384" width="8.81640625" style="1"/>
  </cols>
  <sheetData>
    <row r="2" spans="2:27" ht="31" customHeight="1" x14ac:dyDescent="0.35">
      <c r="B2" s="1063" t="s">
        <v>860</v>
      </c>
      <c r="C2" s="1063"/>
      <c r="D2" s="1063"/>
      <c r="E2" s="1063"/>
      <c r="F2" s="1063"/>
      <c r="G2" s="1063"/>
      <c r="H2" s="1063"/>
      <c r="I2" s="1063"/>
      <c r="J2" s="1063"/>
      <c r="K2" s="1063"/>
      <c r="L2" s="1063"/>
      <c r="M2" s="1063"/>
      <c r="N2" s="1063"/>
      <c r="O2" s="1063"/>
      <c r="P2" s="1063"/>
    </row>
    <row r="4" spans="2:27" x14ac:dyDescent="0.35">
      <c r="B4" s="443" t="s">
        <v>548</v>
      </c>
    </row>
    <row r="6" spans="2:27" x14ac:dyDescent="0.35">
      <c r="B6" s="34" t="s">
        <v>549</v>
      </c>
    </row>
    <row r="7" spans="2:27" ht="102" customHeight="1" x14ac:dyDescent="0.35">
      <c r="B7" s="1060" t="s">
        <v>550</v>
      </c>
      <c r="C7" s="1061"/>
      <c r="D7" s="1061"/>
      <c r="E7" s="1061"/>
      <c r="F7" s="1061"/>
      <c r="G7" s="1061"/>
      <c r="H7" s="1061"/>
      <c r="I7" s="1061"/>
      <c r="J7" s="1061"/>
      <c r="K7" s="1061"/>
      <c r="L7" s="1061"/>
      <c r="M7" s="1061"/>
      <c r="N7" s="1061"/>
      <c r="O7" s="1061"/>
      <c r="P7" s="1062"/>
      <c r="Q7" s="39"/>
      <c r="R7" s="39"/>
      <c r="S7" s="39"/>
      <c r="T7" s="39"/>
      <c r="U7" s="39"/>
    </row>
    <row r="9" spans="2:27" x14ac:dyDescent="0.35">
      <c r="B9" s="34" t="s">
        <v>551</v>
      </c>
    </row>
    <row r="10" spans="2:27" ht="32.5" customHeight="1" x14ac:dyDescent="0.35">
      <c r="B10" s="1060" t="s">
        <v>552</v>
      </c>
      <c r="C10" s="1061"/>
      <c r="D10" s="1061"/>
      <c r="E10" s="1061"/>
      <c r="F10" s="1061"/>
      <c r="G10" s="1061"/>
      <c r="H10" s="1061"/>
      <c r="I10" s="1061"/>
      <c r="J10" s="1061"/>
      <c r="K10" s="1061"/>
      <c r="L10" s="1061"/>
      <c r="M10" s="1061"/>
      <c r="N10" s="1061"/>
      <c r="O10" s="1061"/>
      <c r="P10" s="1062"/>
      <c r="Q10" s="39"/>
      <c r="R10" s="39"/>
      <c r="S10" s="39"/>
      <c r="T10" s="39"/>
      <c r="U10" s="39"/>
    </row>
    <row r="12" spans="2:27" ht="15.75" customHeight="1" x14ac:dyDescent="0.35">
      <c r="B12" s="1071" t="s">
        <v>553</v>
      </c>
      <c r="C12" s="1071"/>
      <c r="D12" s="1071"/>
      <c r="E12" s="1071"/>
      <c r="F12" s="1071"/>
      <c r="G12" s="78"/>
      <c r="H12" s="78"/>
      <c r="I12" s="78"/>
      <c r="J12" s="78"/>
      <c r="K12" s="203"/>
      <c r="L12" s="78"/>
      <c r="M12" s="78"/>
      <c r="N12" s="78"/>
      <c r="O12" s="78"/>
    </row>
    <row r="13" spans="2:27" x14ac:dyDescent="0.35">
      <c r="B13" s="397"/>
      <c r="C13" s="398" t="s">
        <v>554</v>
      </c>
      <c r="D13" s="399" t="s">
        <v>555</v>
      </c>
      <c r="E13" s="400" t="s">
        <v>556</v>
      </c>
      <c r="F13" s="401">
        <v>2025</v>
      </c>
      <c r="G13" s="78"/>
      <c r="H13" s="78"/>
      <c r="I13" s="78"/>
      <c r="J13" s="78"/>
      <c r="K13" s="390"/>
      <c r="L13" s="391"/>
      <c r="M13" s="391"/>
      <c r="N13" s="391"/>
      <c r="O13" s="203"/>
    </row>
    <row r="14" spans="2:27" ht="15" thickBot="1" x14ac:dyDescent="0.4">
      <c r="B14" s="402" t="s">
        <v>554</v>
      </c>
      <c r="C14" s="403">
        <f>SUM(D14:F14)</f>
        <v>18919067</v>
      </c>
      <c r="D14" s="404">
        <f>SUM(D15:D17)</f>
        <v>23250</v>
      </c>
      <c r="E14" s="405">
        <f t="shared" ref="E14:F14" si="0">SUM(E15:E17)</f>
        <v>1807000</v>
      </c>
      <c r="F14" s="406">
        <f t="shared" si="0"/>
        <v>17088817</v>
      </c>
      <c r="G14" s="78"/>
      <c r="H14" s="78"/>
      <c r="I14" s="78"/>
      <c r="J14" s="78"/>
      <c r="K14" s="392"/>
      <c r="L14" s="393"/>
      <c r="M14" s="394"/>
      <c r="N14" s="394"/>
      <c r="O14" s="394"/>
    </row>
    <row r="15" spans="2:27" ht="33.65" customHeight="1" x14ac:dyDescent="0.35">
      <c r="B15" s="407" t="s">
        <v>557</v>
      </c>
      <c r="C15" s="408">
        <f t="shared" ref="C15:C17" si="1">SUM(D15:F15)</f>
        <v>683625</v>
      </c>
      <c r="D15" s="409" cm="1">
        <f t="array" ref="D15">SUM('kuni 2025 detsember tegevuskava'!X122:Z122+'kuni 2025 detsember tegevuskava'!X125:Z125+'kuni 2025 detsember tegevuskava'!X128:Z128+'kuni 2025 detsember tegevuskava'!X131:Z131)</f>
        <v>0</v>
      </c>
      <c r="E15" s="410" cm="1">
        <f t="array" ref="E15">SUM('kuni 2025 detsember tegevuskava'!AA122:AC122+'kuni 2025 detsember tegevuskava'!AA125:AC125+'kuni 2025 detsember tegevuskava'!AA128:AC128+'kuni 2025 detsember tegevuskava'!AA131:AC131)</f>
        <v>0</v>
      </c>
      <c r="F15" s="411" cm="1">
        <f t="array" ref="F15">SUM('kuni 2025 detsember tegevuskava'!AD122:AF122+'kuni 2025 detsember tegevuskava'!AD125:AF125+'kuni 2025 detsember tegevuskava'!AD128:AF128+'kuni 2025 detsember tegevuskava'!AD131:AF131)</f>
        <v>683625</v>
      </c>
      <c r="G15" s="78"/>
      <c r="H15" s="78"/>
      <c r="I15" s="78"/>
      <c r="J15" s="78"/>
      <c r="K15" s="392"/>
      <c r="L15" s="393"/>
      <c r="M15" s="395"/>
      <c r="N15" s="395"/>
      <c r="O15" s="396"/>
      <c r="Q15" s="1063"/>
      <c r="R15" s="1063"/>
      <c r="S15" s="1063"/>
      <c r="T15" s="1063"/>
      <c r="U15" s="1063"/>
      <c r="V15" s="1063"/>
      <c r="W15" s="1063"/>
      <c r="X15" s="1063"/>
      <c r="Y15" s="1063"/>
      <c r="Z15" s="1063"/>
      <c r="AA15" s="1063"/>
    </row>
    <row r="16" spans="2:27" ht="36" customHeight="1" x14ac:dyDescent="0.35">
      <c r="B16" s="412" t="s">
        <v>558</v>
      </c>
      <c r="C16" s="413">
        <f t="shared" si="1"/>
        <v>3990800</v>
      </c>
      <c r="D16" s="414" cm="1">
        <f t="array" ref="D16">SUM('kuni 2025 detsember tegevuskava'!X107:Z107+'kuni 2025 detsember tegevuskava'!X110:Z110+'kuni 2025 detsember tegevuskava'!X113:Z113+'kuni 2025 detsember tegevuskava'!X116:Z116)</f>
        <v>23250</v>
      </c>
      <c r="E16" s="415" cm="1">
        <f t="array" ref="E16">SUM('kuni 2025 detsember tegevuskava'!AA107:AC107+'kuni 2025 detsember tegevuskava'!AA110:AC110+'kuni 2025 detsember tegevuskava'!AA113:AC113+'kuni 2025 detsember tegevuskava'!AA116:AC116)</f>
        <v>1807000</v>
      </c>
      <c r="F16" s="416" cm="1">
        <f t="array" ref="F16">SUM('kuni 2025 detsember tegevuskava'!AD107:AF107+'kuni 2025 detsember tegevuskava'!AD110:AF110+'kuni 2025 detsember tegevuskava'!AD113:AF113+'kuni 2025 detsember tegevuskava'!AD116:AF116)</f>
        <v>2160550</v>
      </c>
      <c r="G16" s="78"/>
      <c r="H16" s="78"/>
      <c r="I16" s="78"/>
      <c r="J16" s="78"/>
      <c r="K16" s="392"/>
      <c r="L16" s="393"/>
      <c r="M16" s="395"/>
      <c r="N16" s="395"/>
      <c r="O16" s="396"/>
      <c r="Q16" s="1063"/>
      <c r="R16" s="1063"/>
      <c r="S16" s="1063"/>
      <c r="T16" s="1063"/>
      <c r="U16" s="1063"/>
      <c r="V16" s="1063"/>
      <c r="W16" s="1063"/>
      <c r="X16" s="1063"/>
      <c r="Y16" s="1063"/>
      <c r="Z16" s="1063"/>
      <c r="AA16" s="1063"/>
    </row>
    <row r="17" spans="2:27" ht="35.15" customHeight="1" thickBot="1" x14ac:dyDescent="0.4">
      <c r="B17" s="417" t="s">
        <v>559</v>
      </c>
      <c r="C17" s="418">
        <f t="shared" si="1"/>
        <v>14244642</v>
      </c>
      <c r="D17" s="419" cm="1">
        <f t="array" ref="D17">SUM('kuni 2025 detsember tegevuskava'!X137:Z137+'kuni 2025 detsember tegevuskava'!X140:Z140+'kuni 2025 detsember tegevuskava'!X143:Z143+'kuni 2025 detsember tegevuskava'!X146:Z146)</f>
        <v>0</v>
      </c>
      <c r="E17" s="420" cm="1">
        <f t="array" ref="E17">SUM('kuni 2025 detsember tegevuskava'!AA137:AC137+'kuni 2025 detsember tegevuskava'!AA140:AC140+'kuni 2025 detsember tegevuskava'!AA143:AC143+'kuni 2025 detsember tegevuskava'!AA146:AC146)</f>
        <v>0</v>
      </c>
      <c r="F17" s="421" cm="1">
        <f t="array" ref="F17">SUM('kuni 2025 detsember tegevuskava'!AD137:AF137+'kuni 2025 detsember tegevuskava'!AD140:AF140+'kuni 2025 detsember tegevuskava'!AD143:AF143+'kuni 2025 detsember tegevuskava'!AD146:AF146)</f>
        <v>14244642</v>
      </c>
      <c r="G17" s="78"/>
      <c r="H17" s="78"/>
      <c r="I17" s="78"/>
      <c r="J17" s="78"/>
      <c r="K17" s="392"/>
      <c r="L17" s="393"/>
      <c r="M17" s="395"/>
      <c r="N17" s="395"/>
      <c r="O17" s="396"/>
      <c r="Q17" s="1063"/>
      <c r="R17" s="1063"/>
      <c r="S17" s="1063"/>
      <c r="T17" s="1063"/>
      <c r="U17" s="1063"/>
      <c r="V17" s="1063"/>
      <c r="W17" s="1063"/>
      <c r="X17" s="1063"/>
      <c r="Y17" s="1063"/>
      <c r="Z17" s="1063"/>
      <c r="AA17" s="1063"/>
    </row>
    <row r="18" spans="2:27" x14ac:dyDescent="0.35">
      <c r="B18" s="173"/>
      <c r="C18" s="173"/>
      <c r="D18" s="173"/>
      <c r="E18" s="173"/>
      <c r="F18" s="173"/>
      <c r="G18" s="78"/>
      <c r="H18" s="78"/>
      <c r="I18" s="78"/>
      <c r="J18" s="78"/>
      <c r="K18" s="78"/>
      <c r="L18" s="78"/>
      <c r="M18" s="78"/>
      <c r="N18" s="78"/>
      <c r="O18" s="78"/>
    </row>
    <row r="19" spans="2:27" x14ac:dyDescent="0.35">
      <c r="B19" s="173"/>
      <c r="C19" s="173"/>
      <c r="D19" s="173"/>
      <c r="E19" s="173"/>
      <c r="F19" s="173"/>
      <c r="G19" s="78"/>
      <c r="H19" s="78"/>
      <c r="I19" s="78"/>
      <c r="J19" s="78"/>
      <c r="K19" s="78"/>
      <c r="L19" s="78"/>
      <c r="M19" s="78"/>
      <c r="N19" s="78"/>
      <c r="O19" s="78"/>
    </row>
    <row r="20" spans="2:27" ht="36" customHeight="1" x14ac:dyDescent="0.35">
      <c r="B20" s="1070" t="s">
        <v>560</v>
      </c>
      <c r="C20" s="1070"/>
      <c r="D20" s="1070"/>
      <c r="E20" s="1070"/>
      <c r="F20" s="1070"/>
      <c r="G20" s="78"/>
      <c r="H20" s="78"/>
      <c r="I20" s="78"/>
      <c r="J20" s="78"/>
      <c r="K20" s="78"/>
      <c r="L20" s="78"/>
      <c r="M20" s="78"/>
      <c r="N20" s="78"/>
      <c r="O20" s="78"/>
    </row>
    <row r="21" spans="2:27" x14ac:dyDescent="0.35">
      <c r="B21" s="397"/>
      <c r="C21" s="422" t="s">
        <v>554</v>
      </c>
      <c r="D21" s="398" t="s">
        <v>555</v>
      </c>
      <c r="E21" s="423" t="s">
        <v>556</v>
      </c>
      <c r="F21" s="398" t="s">
        <v>561</v>
      </c>
      <c r="G21" s="78"/>
      <c r="H21" s="78"/>
      <c r="I21" s="78"/>
      <c r="J21" s="78"/>
      <c r="K21" s="78"/>
      <c r="L21" s="78"/>
      <c r="M21" s="78"/>
      <c r="N21" s="78"/>
      <c r="O21" s="78"/>
    </row>
    <row r="22" spans="2:27" ht="15" thickBot="1" x14ac:dyDescent="0.4">
      <c r="B22" s="424" t="s">
        <v>558</v>
      </c>
      <c r="C22" s="425">
        <f>SUM(D22:F22)</f>
        <v>4617035.2</v>
      </c>
      <c r="D22" s="426">
        <f>SUM(D23:D26)</f>
        <v>24685.199999999997</v>
      </c>
      <c r="E22" s="427">
        <f t="shared" ref="E22:F22" si="2">SUM(E23:E26)</f>
        <v>2094100</v>
      </c>
      <c r="F22" s="428">
        <f t="shared" si="2"/>
        <v>2498250</v>
      </c>
      <c r="G22" s="78"/>
      <c r="H22" s="78"/>
      <c r="I22" s="78"/>
      <c r="J22" s="78"/>
      <c r="K22" s="78"/>
      <c r="L22" s="78"/>
      <c r="M22" s="78"/>
      <c r="N22" s="78"/>
      <c r="O22" s="78"/>
    </row>
    <row r="23" spans="2:27" ht="36" x14ac:dyDescent="0.35">
      <c r="B23" s="429" t="s">
        <v>7</v>
      </c>
      <c r="C23" s="430">
        <f>SUM(D23:F23)</f>
        <v>3165860</v>
      </c>
      <c r="D23" s="431">
        <f>SUM('kuni 2025 detsember tegevuskava'!X108:Z108)</f>
        <v>0</v>
      </c>
      <c r="E23" s="432">
        <f>SUM('kuni 2025 detsember tegevuskava'!AA108:AC108)</f>
        <v>1255360</v>
      </c>
      <c r="F23" s="433">
        <f>SUM('kuni 2025 detsember tegevuskava'!AD108:AF108)</f>
        <v>1910500</v>
      </c>
      <c r="G23" s="78"/>
      <c r="H23" s="78"/>
      <c r="I23" s="78"/>
      <c r="J23" s="78"/>
      <c r="K23" s="78"/>
      <c r="L23" s="78"/>
      <c r="M23" s="78"/>
      <c r="N23" s="78"/>
      <c r="O23" s="78"/>
    </row>
    <row r="24" spans="2:27" ht="48" x14ac:dyDescent="0.35">
      <c r="B24" s="429" t="s">
        <v>536</v>
      </c>
      <c r="C24" s="434">
        <f t="shared" ref="C24:C26" si="3">SUM(D24:F24)</f>
        <v>36600</v>
      </c>
      <c r="D24" s="435">
        <f>SUM('kuni 2025 detsember tegevuskava'!X111:Z111)</f>
        <v>0</v>
      </c>
      <c r="E24" s="436">
        <f>SUM('kuni 2025 detsember tegevuskava'!AA111:AC111)</f>
        <v>36600</v>
      </c>
      <c r="F24" s="437">
        <f>SUM('kuni 2025 detsember tegevuskava'!AD111:AF111)</f>
        <v>0</v>
      </c>
      <c r="G24" s="78"/>
      <c r="H24" s="78"/>
      <c r="I24" s="78"/>
      <c r="J24" s="78"/>
      <c r="K24" s="78"/>
      <c r="L24" s="78"/>
      <c r="M24" s="78"/>
      <c r="N24" s="78"/>
      <c r="O24" s="78"/>
    </row>
    <row r="25" spans="2:27" ht="84" x14ac:dyDescent="0.35">
      <c r="B25" s="429" t="s">
        <v>537</v>
      </c>
      <c r="C25" s="434">
        <f t="shared" si="3"/>
        <v>1170575.2</v>
      </c>
      <c r="D25" s="435">
        <f>SUM('kuni 2025 detsember tegevuskava'!X114:Z114)</f>
        <v>24685.199999999997</v>
      </c>
      <c r="E25" s="436">
        <f>SUM('kuni 2025 detsember tegevuskava'!AA114:AC114)</f>
        <v>558140</v>
      </c>
      <c r="F25" s="437">
        <f>SUM('kuni 2025 detsember tegevuskava'!AD114:AF114)</f>
        <v>587750</v>
      </c>
      <c r="G25" s="78"/>
      <c r="H25" s="78"/>
      <c r="I25" s="78"/>
      <c r="J25" s="78"/>
      <c r="K25" s="78"/>
      <c r="L25" s="78"/>
      <c r="M25" s="78"/>
      <c r="N25" s="78"/>
      <c r="O25" s="78"/>
    </row>
    <row r="26" spans="2:27" ht="60.5" thickBot="1" x14ac:dyDescent="0.4">
      <c r="B26" s="438" t="s">
        <v>538</v>
      </c>
      <c r="C26" s="439">
        <f t="shared" si="3"/>
        <v>244000</v>
      </c>
      <c r="D26" s="440">
        <f>SUM('kuni 2025 detsember tegevuskava'!X117:Z117)</f>
        <v>0</v>
      </c>
      <c r="E26" s="441">
        <f>SUM('kuni 2025 detsember tegevuskava'!AA117:AC117)</f>
        <v>244000</v>
      </c>
      <c r="F26" s="442">
        <f>SUM('kuni 2025 detsember tegevuskava'!AD117:AF117)</f>
        <v>0</v>
      </c>
      <c r="G26" s="78"/>
      <c r="H26" s="78"/>
      <c r="I26" s="78"/>
      <c r="J26" s="78"/>
      <c r="K26" s="78"/>
      <c r="L26" s="78"/>
      <c r="M26" s="78"/>
      <c r="N26" s="78"/>
      <c r="O26" s="78"/>
    </row>
    <row r="28" spans="2:27" ht="15" thickBot="1" x14ac:dyDescent="0.4"/>
    <row r="29" spans="2:27" ht="30.65" customHeight="1" x14ac:dyDescent="0.35">
      <c r="B29" s="1072" t="s">
        <v>562</v>
      </c>
      <c r="C29" s="1074" t="s">
        <v>64</v>
      </c>
      <c r="D29" s="1074" t="s">
        <v>65</v>
      </c>
      <c r="E29" s="174" t="s">
        <v>66</v>
      </c>
      <c r="F29" s="1076" t="s">
        <v>563</v>
      </c>
      <c r="G29" s="1077"/>
      <c r="H29" s="1078"/>
      <c r="I29" s="1064" t="s">
        <v>72</v>
      </c>
      <c r="J29" s="1065"/>
      <c r="K29" s="1064" t="s">
        <v>564</v>
      </c>
      <c r="L29" s="1065"/>
      <c r="M29" s="1064" t="s">
        <v>565</v>
      </c>
      <c r="N29" s="1065"/>
      <c r="O29" s="1064" t="s">
        <v>566</v>
      </c>
      <c r="P29" s="1068"/>
    </row>
    <row r="30" spans="2:27" ht="15" thickBot="1" x14ac:dyDescent="0.4">
      <c r="B30" s="1073"/>
      <c r="C30" s="1075"/>
      <c r="D30" s="1075"/>
      <c r="E30" s="54"/>
      <c r="F30" s="1020"/>
      <c r="G30" s="1020"/>
      <c r="H30" s="1079"/>
      <c r="I30" s="1066" t="s">
        <v>567</v>
      </c>
      <c r="J30" s="1067"/>
      <c r="K30" s="1066" t="s">
        <v>567</v>
      </c>
      <c r="L30" s="1067"/>
      <c r="M30" s="1066" t="s">
        <v>567</v>
      </c>
      <c r="N30" s="1067"/>
      <c r="O30" s="1066" t="s">
        <v>567</v>
      </c>
      <c r="P30" s="1069"/>
    </row>
    <row r="31" spans="2:27" ht="15" thickBot="1" x14ac:dyDescent="0.4">
      <c r="B31" s="146" t="s">
        <v>568</v>
      </c>
      <c r="C31" s="147"/>
      <c r="D31" s="147"/>
      <c r="E31" s="147"/>
      <c r="F31" s="148"/>
      <c r="G31" s="149"/>
      <c r="H31" s="150"/>
      <c r="I31" s="143">
        <f>SUM(I32:I34)</f>
        <v>18909067</v>
      </c>
      <c r="J31" s="133"/>
      <c r="K31" s="134">
        <f>SUM(K32:K34)</f>
        <v>23250</v>
      </c>
      <c r="L31" s="135"/>
      <c r="M31" s="134">
        <f>SUM(M32:M34)</f>
        <v>1797000</v>
      </c>
      <c r="N31" s="133"/>
      <c r="O31" s="134">
        <f>SUM(O32:O34)</f>
        <v>17088817</v>
      </c>
      <c r="P31" s="136"/>
      <c r="Q31" s="238"/>
    </row>
    <row r="32" spans="2:27" x14ac:dyDescent="0.35">
      <c r="B32" s="151"/>
      <c r="C32" s="8"/>
      <c r="D32" s="8"/>
      <c r="E32" s="8"/>
      <c r="F32" s="137"/>
      <c r="G32" s="8"/>
      <c r="H32" s="152"/>
      <c r="I32" s="122">
        <f>SUM(I78+I95+I105+I184+I213+I227+I236)</f>
        <v>2263000</v>
      </c>
      <c r="J32" s="121" t="str">
        <f>"(15)"</f>
        <v>(15)</v>
      </c>
      <c r="K32" s="57">
        <f>SUM(K78+K95+K105+K184+K213)</f>
        <v>0</v>
      </c>
      <c r="L32" s="121" t="str">
        <f>"(15)"</f>
        <v>(15)</v>
      </c>
      <c r="M32" s="57">
        <f>SUM(M78+M95+M105+M184+M213+M227+M236)</f>
        <v>838000</v>
      </c>
      <c r="N32" s="121" t="str">
        <f>"(15)"</f>
        <v>(15)</v>
      </c>
      <c r="O32" s="57">
        <f>SUM(O78+O95+O105+O184+O213+O227+O236)</f>
        <v>1425000</v>
      </c>
      <c r="P32" s="65" t="str">
        <f>"(15)"</f>
        <v>(15)</v>
      </c>
      <c r="Q32" s="238"/>
    </row>
    <row r="33" spans="2:18" ht="16.5" x14ac:dyDescent="0.35">
      <c r="B33" s="138"/>
      <c r="C33" s="8"/>
      <c r="D33" s="8"/>
      <c r="E33" s="8"/>
      <c r="F33" s="137"/>
      <c r="G33" s="8"/>
      <c r="H33" s="175"/>
      <c r="I33" s="122">
        <f>SUM(I56+I83+I100+I110+I122+I129+I136+I143+I150+I167+I172+I179+I185+I203+I220+I228+I237)</f>
        <v>8864409.8500000015</v>
      </c>
      <c r="J33" s="121" t="str">
        <f>"(50)"</f>
        <v>(50)</v>
      </c>
      <c r="K33" s="57">
        <f>SUM(K56+K83+K100+K110+K122+K129+K136+K143+K150+K167+K172+K179+K185+K203+K220+K228+K237)</f>
        <v>16074</v>
      </c>
      <c r="L33" s="121" t="str">
        <f>"(50)"</f>
        <v>(50)</v>
      </c>
      <c r="M33" s="57">
        <f>SUM(M56+M83+M100+M110+M122+M129+M136+M143+M150+M167+M172+M179+M185+M203+M220+M228+M237)</f>
        <v>502000</v>
      </c>
      <c r="N33" s="121" t="str">
        <f>"(50)"</f>
        <v>(50)</v>
      </c>
      <c r="O33" s="57">
        <f>SUM(O56+O83+O100+O110+O122+O129+O136+O143+O150+O167+O172+O179+O185+O203+O220+O228+O242)</f>
        <v>8346335.8500000006</v>
      </c>
      <c r="P33" s="65" t="str">
        <f>"(50)"</f>
        <v>(50)</v>
      </c>
      <c r="Q33" s="238"/>
      <c r="R33" s="238"/>
    </row>
    <row r="34" spans="2:18" ht="17" thickBot="1" x14ac:dyDescent="0.4">
      <c r="B34" s="138"/>
      <c r="C34" s="8"/>
      <c r="D34" s="8"/>
      <c r="E34" s="8"/>
      <c r="F34" s="137"/>
      <c r="G34" s="8"/>
      <c r="H34" s="175"/>
      <c r="I34" s="122">
        <f>SUM(I36+I41+I46+I51+I57+I63+I68+I73+I84+I90+I111+I117+I123+I130+I137+I144+I151+I157+I162+I173+I186+I193+I198+I208+I214+I221+I229+I238+I245+I250)</f>
        <v>7781657.1499999994</v>
      </c>
      <c r="J34" s="121" t="str">
        <f>"(55)"</f>
        <v>(55)</v>
      </c>
      <c r="K34" s="57">
        <f>SUM(K36+K41+K46+K51+K57+K63+K68+K73+K84+K90+K111+K117+K123+K130+K137+K229+K238+K245+K250+K144+K151+K157+K162+K173+K186+K193+K198+K208+K214+K221)</f>
        <v>7176</v>
      </c>
      <c r="L34" s="121" t="str">
        <f>"(55)"</f>
        <v>(55)</v>
      </c>
      <c r="M34" s="57">
        <f>SUM(M36+M41+M46+M51+M57+M63+M68+M73+M84+M90+M111+M117+M123+M130+M137+M144+M151+M157+M162+M173+M186+M193+M198+M208+M214+M221+M229+M238+M245+M250)</f>
        <v>457000</v>
      </c>
      <c r="N34" s="121" t="str">
        <f>"(55)"</f>
        <v>(55)</v>
      </c>
      <c r="O34" s="57">
        <f>SUM(O36+O41+O46+O51+O57+O63+O68+O73+O84+O90+O111+O123+O130+O137+O144+O151+O157+O162+O173+O186+O193+O198+O208+O214+O221+O229+O238+O245+O250)</f>
        <v>7317481.1499999994</v>
      </c>
      <c r="P34" s="65" t="str">
        <f>"(55)"</f>
        <v>(55)</v>
      </c>
      <c r="Q34" s="238"/>
      <c r="R34" s="238"/>
    </row>
    <row r="35" spans="2:18" ht="14.5" customHeight="1" x14ac:dyDescent="0.35">
      <c r="B35" s="1051" t="s">
        <v>100</v>
      </c>
      <c r="C35" s="1054" t="str">
        <f>'kuni 2025 detsember tegevuskava'!I35</f>
        <v>Puudub ühine standard ja raamistik, kuidas teenuste kogu elukaare jooksul juhitakse ning arendatakse, arvestades 6 suunda</v>
      </c>
      <c r="D35" s="1054" t="str">
        <f>'kuni 2025 detsember tegevuskava'!J35</f>
        <v>Teenuse elukaare juhtimise strateegia, sh mõõdikute kokku panemine, sh eksperdiga koostöös (Analüüsist: Luua VA strateegilisi eesmärke toetav IKT strateegia ja rakendusplaan, organisatsiooni plaan ja riskiplaan.)</v>
      </c>
      <c r="E35" s="1080" t="str">
        <f>'kuni 2025 detsember tegevuskava'!K35</f>
        <v>Teenuse elukaare juhtimise strateegia on koostatud ja mõõdikud olemas</v>
      </c>
      <c r="F35" s="1054" t="str">
        <f>'kuni 2025 detsember tegevuskava'!P35&amp;"/"</f>
        <v>SF 21-27 (taotletav raha)/</v>
      </c>
      <c r="G35" s="984" cm="1">
        <f t="array" ref="G35">_xlfn.IFS('kuni 2025 detsember tegevuskava'!G35='kuni 2025 detsember tegevuskava'!$G$107,1,'kuni 2025 detsember tegevuskava'!G35='kuni 2025 detsember tegevuskava'!$G$108,2,'kuni 2025 detsember tegevuskava'!G35='kuni 2025 detsember tegevuskava'!$G$109,3,'kuni 2025 detsember tegevuskava'!G35='kuni 2025 detsember tegevuskava'!$G$110,4)</f>
        <v>3</v>
      </c>
      <c r="H35" s="177" cm="1">
        <f t="array" ref="H35">_xlfn.IFS(OR('kuni 2025 detsember tegevuskava'!P35='kuni 2025 detsember tegevuskava'!$P$107,'kuni 2025 detsember tegevuskava'!P35='kuni 2025 detsember tegevuskava'!$P$109,'kuni 2025 detsember tegevuskava'!P35='kuni 2025 detsember tegevuskava'!$P$110,'kuni 2025 detsember tegevuskava'!P35='kuni 2025 detsember tegevuskava'!$P$111),1,'kuni 2025 detsember tegevuskava'!P35='kuni 2025 detsember tegevuskava'!$P$112,2,'kuni 2025 detsember tegevuskava'!P35='kuni 2025 detsember tegevuskava'!$P$113,2,'kuni 2025 detsember tegevuskava'!P35='kuni 2025 detsember tegevuskava'!$P$108,3)</f>
        <v>2</v>
      </c>
      <c r="I35" s="132">
        <f>SUM(I36:I36)</f>
        <v>15000</v>
      </c>
      <c r="J35" s="156"/>
      <c r="K35" s="60">
        <f>SUM(K36:K36)</f>
        <v>0</v>
      </c>
      <c r="L35" s="157"/>
      <c r="M35" s="60">
        <f>SUM(M36:M36)</f>
        <v>15000</v>
      </c>
      <c r="N35" s="63"/>
      <c r="O35" s="60">
        <f>SUM(O36:O36)</f>
        <v>0</v>
      </c>
      <c r="P35" s="64"/>
    </row>
    <row r="36" spans="2:18" ht="16.5" x14ac:dyDescent="0.35">
      <c r="B36" s="1052"/>
      <c r="C36" s="1055"/>
      <c r="D36" s="1055"/>
      <c r="E36" s="1081"/>
      <c r="F36" s="1055"/>
      <c r="G36" s="983"/>
      <c r="H36" s="968"/>
      <c r="I36" s="130">
        <f>SUM(K36+M36+O36)</f>
        <v>15000</v>
      </c>
      <c r="J36" s="121" t="str">
        <f>"(55)"</f>
        <v>(55)</v>
      </c>
      <c r="K36" s="155">
        <f>'kuni 2025 detsember tegevuskava'!Z35</f>
        <v>0</v>
      </c>
      <c r="L36" s="121" t="str">
        <f>"(55)"</f>
        <v>(55)</v>
      </c>
      <c r="M36" s="155">
        <f>'kuni 2025 detsember tegevuskava'!AC35</f>
        <v>15000</v>
      </c>
      <c r="N36" s="121" t="str">
        <f>"(55)"</f>
        <v>(55)</v>
      </c>
      <c r="O36" s="155">
        <f>'kuni 2025 detsember tegevuskava'!AF35</f>
        <v>0</v>
      </c>
      <c r="P36" s="65" t="str">
        <f>"(55)"</f>
        <v>(55)</v>
      </c>
    </row>
    <row r="37" spans="2:18" ht="16.5" x14ac:dyDescent="0.35">
      <c r="B37" s="1052"/>
      <c r="C37" s="1055"/>
      <c r="D37" s="1055"/>
      <c r="E37" s="1081"/>
      <c r="F37" s="1055"/>
      <c r="G37" s="983"/>
      <c r="H37" s="968"/>
      <c r="I37" s="129" t="s">
        <v>569</v>
      </c>
      <c r="J37" s="158"/>
      <c r="K37" s="970"/>
      <c r="L37" s="97"/>
      <c r="M37" s="970"/>
      <c r="N37" s="97"/>
      <c r="O37" s="970"/>
      <c r="P37" s="160"/>
    </row>
    <row r="38" spans="2:18" ht="16.5" x14ac:dyDescent="0.35">
      <c r="B38" s="1052"/>
      <c r="C38" s="1055"/>
      <c r="D38" s="1055"/>
      <c r="E38" s="1081"/>
      <c r="F38" s="1055"/>
      <c r="G38" s="983"/>
      <c r="H38" s="968"/>
      <c r="I38" s="131">
        <f>SUM(I39:I39)</f>
        <v>18300</v>
      </c>
      <c r="J38" s="121"/>
      <c r="K38" s="142">
        <f>SUM(K39:K39)</f>
        <v>0</v>
      </c>
      <c r="L38" s="162"/>
      <c r="M38" s="139">
        <f>SUM(M39:M39)</f>
        <v>18300</v>
      </c>
      <c r="N38" s="102"/>
      <c r="O38" s="139">
        <f>SUM(O39:O39)</f>
        <v>0</v>
      </c>
      <c r="P38" s="160"/>
    </row>
    <row r="39" spans="2:18" ht="26" customHeight="1" thickBot="1" x14ac:dyDescent="0.4">
      <c r="B39" s="1053"/>
      <c r="C39" s="1056"/>
      <c r="D39" s="1056"/>
      <c r="E39" s="1082"/>
      <c r="F39" s="1056"/>
      <c r="G39" s="985"/>
      <c r="H39" s="176"/>
      <c r="I39" s="993">
        <f>SUM(K39+M39+O39)</f>
        <v>18300</v>
      </c>
      <c r="J39" s="68" t="str">
        <f>"(55)"</f>
        <v>(55)</v>
      </c>
      <c r="K39" s="69">
        <f>SUM(K36*1.2)</f>
        <v>0</v>
      </c>
      <c r="L39" s="68" t="str">
        <f>"(55)"</f>
        <v>(55)</v>
      </c>
      <c r="M39" s="69">
        <f>SUM(M36*1.22)</f>
        <v>18300</v>
      </c>
      <c r="N39" s="68" t="str">
        <f>"(55)"</f>
        <v>(55)</v>
      </c>
      <c r="O39" s="69">
        <f>SUM(O36*1.22)</f>
        <v>0</v>
      </c>
      <c r="P39" s="70" t="str">
        <f>"(55)"</f>
        <v>(55)</v>
      </c>
    </row>
    <row r="40" spans="2:18" ht="16.5" x14ac:dyDescent="0.35">
      <c r="B40" s="1051" t="str">
        <f>'kuni 2025 detsember tegevuskava'!A36&amp;"/"&amp;'kuni 2025 detsember tegevuskava'!B36</f>
        <v>MKM/</v>
      </c>
      <c r="C40" s="1054" t="str">
        <f>'kuni 2025 detsember tegevuskava'!I36</f>
        <v>Kuna MKMis varasemalt digipöörde juhtimismudelit ei olnud, siis ühste eesmärgi jaoks peab olema juhtimismudel käivitatud ja juurutatud.</v>
      </c>
      <c r="D40" s="1054" t="str">
        <f>'kuni 2025 detsember tegevuskava'!J36</f>
        <v>Juhtimismudeli käivitamine ja juurutamine (nõukogu, juhtrühma ja võrgustikuga seotud tegevused)</v>
      </c>
      <c r="E40" s="1057" t="str">
        <f>'kuni 2025 detsember tegevuskava'!K36</f>
        <v>Nõukogu, juhtrühm ja võrgustiku tegevused on korraldatud.</v>
      </c>
      <c r="F40" s="1054" t="str">
        <f>'kuni 2025 detsember tegevuskava'!P36&amp;"/"</f>
        <v>SF 21-27 (taotletav raha)/</v>
      </c>
      <c r="G40" s="984" cm="1">
        <f t="array" ref="G40">_xlfn.IFS('kuni 2025 detsember tegevuskava'!G36='kuni 2025 detsember tegevuskava'!$G$107,1,'kuni 2025 detsember tegevuskava'!G36='kuni 2025 detsember tegevuskava'!$G$108,2,'kuni 2025 detsember tegevuskava'!G36='kuni 2025 detsember tegevuskava'!$G$109,3,'kuni 2025 detsember tegevuskava'!G36='kuni 2025 detsember tegevuskava'!$G$110,4)</f>
        <v>3</v>
      </c>
      <c r="H40" s="177" cm="1">
        <f t="array" ref="H40">_xlfn.IFS(OR('kuni 2025 detsember tegevuskava'!P36='kuni 2025 detsember tegevuskava'!$P$107,'kuni 2025 detsember tegevuskava'!P36='kuni 2025 detsember tegevuskava'!$P$109,'kuni 2025 detsember tegevuskava'!P36='kuni 2025 detsember tegevuskava'!$P$110,'kuni 2025 detsember tegevuskava'!P36='kuni 2025 detsember tegevuskava'!$P$111),1,'kuni 2025 detsember tegevuskava'!P36='kuni 2025 detsember tegevuskava'!$P$112,2,'kuni 2025 detsember tegevuskava'!P36='kuni 2025 detsember tegevuskava'!$P$113,2,'kuni 2025 detsember tegevuskava'!P36='kuni 2025 detsember tegevuskava'!$P$108,3)</f>
        <v>2</v>
      </c>
      <c r="I40" s="132">
        <f>SUM(I41:I41)</f>
        <v>7000</v>
      </c>
      <c r="J40" s="61"/>
      <c r="K40" s="132">
        <f>SUM(K41:K41)</f>
        <v>0</v>
      </c>
      <c r="L40" s="62"/>
      <c r="M40" s="132">
        <f>SUM(M41:M41)</f>
        <v>7000</v>
      </c>
      <c r="N40" s="63"/>
      <c r="O40" s="60">
        <f>SUM(O41:O41)</f>
        <v>0</v>
      </c>
      <c r="P40" s="64"/>
    </row>
    <row r="41" spans="2:18" ht="16.5" x14ac:dyDescent="0.35">
      <c r="B41" s="1052"/>
      <c r="C41" s="1055"/>
      <c r="D41" s="1055"/>
      <c r="E41" s="1058"/>
      <c r="F41" s="1055"/>
      <c r="G41" s="983"/>
      <c r="H41" s="968"/>
      <c r="I41" s="130">
        <f t="shared" ref="I41" si="4">SUM(K41+M41+O41)</f>
        <v>7000</v>
      </c>
      <c r="J41" s="58" t="str">
        <f>"(55)"</f>
        <v>(55)</v>
      </c>
      <c r="K41" s="59">
        <f>'kuni 2025 detsember tegevuskava'!Z36</f>
        <v>0</v>
      </c>
      <c r="L41" s="58" t="str">
        <f>"(55)"</f>
        <v>(55)</v>
      </c>
      <c r="M41" s="59">
        <f>'kuni 2025 detsember tegevuskava'!AC36</f>
        <v>7000</v>
      </c>
      <c r="N41" s="58" t="str">
        <f>"(55)"</f>
        <v>(55)</v>
      </c>
      <c r="O41" s="59">
        <f>'kuni 2025 detsember tegevuskava'!AF36</f>
        <v>0</v>
      </c>
      <c r="P41" s="66" t="str">
        <f>"(55)"</f>
        <v>(55)</v>
      </c>
    </row>
    <row r="42" spans="2:18" ht="16.5" x14ac:dyDescent="0.35">
      <c r="B42" s="1052"/>
      <c r="C42" s="1055"/>
      <c r="D42" s="1055"/>
      <c r="E42" s="1058"/>
      <c r="F42" s="1055"/>
      <c r="G42" s="983"/>
      <c r="H42" s="968"/>
      <c r="I42" s="154" t="s">
        <v>569</v>
      </c>
      <c r="J42" s="8"/>
      <c r="K42" s="8"/>
      <c r="L42" s="8"/>
      <c r="M42" s="8"/>
      <c r="N42" s="8"/>
      <c r="O42" s="8"/>
      <c r="P42" s="152"/>
    </row>
    <row r="43" spans="2:18" ht="16.5" x14ac:dyDescent="0.35">
      <c r="B43" s="1052"/>
      <c r="C43" s="1055"/>
      <c r="D43" s="1055"/>
      <c r="E43" s="1058"/>
      <c r="F43" s="1055"/>
      <c r="G43" s="983"/>
      <c r="H43" s="968"/>
      <c r="I43" s="142">
        <f>SUM(I44:I44)</f>
        <v>8540</v>
      </c>
      <c r="J43" s="140"/>
      <c r="K43" s="142">
        <f>SUM(K44:K44)</f>
        <v>0</v>
      </c>
      <c r="L43" s="141"/>
      <c r="M43" s="142">
        <f>SUM(M44:M44)</f>
        <v>8540</v>
      </c>
      <c r="N43" s="103"/>
      <c r="O43" s="142">
        <f>SUM(O44:O44)</f>
        <v>0</v>
      </c>
      <c r="P43" s="127"/>
    </row>
    <row r="44" spans="2:18" ht="23" customHeight="1" thickBot="1" x14ac:dyDescent="0.4">
      <c r="B44" s="1053"/>
      <c r="C44" s="1056"/>
      <c r="D44" s="1056"/>
      <c r="E44" s="1059"/>
      <c r="F44" s="1056"/>
      <c r="G44" s="985"/>
      <c r="H44" s="176"/>
      <c r="I44" s="993">
        <f t="shared" ref="I44" si="5">SUM(K44+M44+O44)</f>
        <v>8540</v>
      </c>
      <c r="J44" s="68" t="str">
        <f>"(55)"</f>
        <v>(55)</v>
      </c>
      <c r="K44" s="69">
        <f>SUM(K41*1.2)</f>
        <v>0</v>
      </c>
      <c r="L44" s="68" t="str">
        <f>"(55)"</f>
        <v>(55)</v>
      </c>
      <c r="M44" s="69">
        <f>SUM(M41*1.22)</f>
        <v>8540</v>
      </c>
      <c r="N44" s="68" t="str">
        <f>"(55)"</f>
        <v>(55)</v>
      </c>
      <c r="O44" s="69">
        <f>SUM(O41*1.22)</f>
        <v>0</v>
      </c>
      <c r="P44" s="70" t="str">
        <f>"(55)"</f>
        <v>(55)</v>
      </c>
    </row>
    <row r="45" spans="2:18" ht="16.5" x14ac:dyDescent="0.35">
      <c r="B45" s="1051" t="str">
        <f>'kuni 2025 detsember tegevuskava'!A37&amp;"/"&amp;'kuni 2025 detsember tegevuskava'!B37</f>
        <v>MKM/</v>
      </c>
      <c r="C45" s="1054" t="str">
        <f>'kuni 2025 detsember tegevuskava'!I37</f>
        <v>MKMi valitsemisala digipöörde suundade hetkeolukord on kaardistatud ja probleemkohad leitud.</v>
      </c>
      <c r="D45" s="1054" t="str">
        <f>'kuni 2025 detsember tegevuskava'!J37</f>
        <v>MKMi valitsemisala digipöörde suundade (teenuse juhtimine, andmed, arhitektuur, küberturvalisus, kestlikkus, oskused ja võimekus) võimestamise tegevused</v>
      </c>
      <c r="E45" s="1057" t="str">
        <f>'kuni 2025 detsember tegevuskava'!K37</f>
        <v>Hetkeolukorrast lähtuvalt aasta 2023/2024 kriitilised tegevused on tehtud.</v>
      </c>
      <c r="F45" s="1054" t="str">
        <f>'kuni 2025 detsember tegevuskava'!P37&amp;"/"</f>
        <v>SF 21-27 (taotletav raha)/</v>
      </c>
      <c r="G45" s="984" cm="1">
        <f t="array" ref="G45">_xlfn.IFS('kuni 2025 detsember tegevuskava'!G37='kuni 2025 detsember tegevuskava'!$G$107,1,'kuni 2025 detsember tegevuskava'!G37='kuni 2025 detsember tegevuskava'!$G$108,2,'kuni 2025 detsember tegevuskava'!G37='kuni 2025 detsember tegevuskava'!$G$109,3,'kuni 2025 detsember tegevuskava'!G37='kuni 2025 detsember tegevuskava'!$G$110,4)</f>
        <v>3</v>
      </c>
      <c r="H45" s="177" cm="1">
        <f t="array" ref="H45">_xlfn.IFS(OR('kuni 2025 detsember tegevuskava'!P37='kuni 2025 detsember tegevuskava'!$P$107,'kuni 2025 detsember tegevuskava'!P37='kuni 2025 detsember tegevuskava'!$P$109,'kuni 2025 detsember tegevuskava'!P37='kuni 2025 detsember tegevuskava'!$P$110,'kuni 2025 detsember tegevuskava'!P37='kuni 2025 detsember tegevuskava'!$P$111),1,'kuni 2025 detsember tegevuskava'!P37='kuni 2025 detsember tegevuskava'!$P$112,2,'kuni 2025 detsember tegevuskava'!P37='kuni 2025 detsember tegevuskava'!$P$113,2,'kuni 2025 detsember tegevuskava'!P37='kuni 2025 detsember tegevuskava'!$P$108,3)</f>
        <v>2</v>
      </c>
      <c r="I45" s="132">
        <f>SUM(I46:I46)</f>
        <v>30000</v>
      </c>
      <c r="J45" s="156"/>
      <c r="K45" s="60">
        <f>SUM(K46:K46)</f>
        <v>0</v>
      </c>
      <c r="L45" s="157"/>
      <c r="M45" s="60">
        <f>SUM(M46:M46)</f>
        <v>30000</v>
      </c>
      <c r="N45" s="63"/>
      <c r="O45" s="60">
        <f>SUM(O46:O46)</f>
        <v>0</v>
      </c>
      <c r="P45" s="64"/>
    </row>
    <row r="46" spans="2:18" ht="16.5" x14ac:dyDescent="0.35">
      <c r="B46" s="1052"/>
      <c r="C46" s="1055"/>
      <c r="D46" s="1055"/>
      <c r="E46" s="1058"/>
      <c r="F46" s="1055"/>
      <c r="G46" s="983"/>
      <c r="H46" s="968"/>
      <c r="I46" s="972">
        <f t="shared" ref="I46" si="6">SUM(K46+M46+O46)</f>
        <v>30000</v>
      </c>
      <c r="J46" s="973" t="str">
        <f>"(55)"</f>
        <v>(55)</v>
      </c>
      <c r="K46" s="971">
        <f>'kuni 2025 detsember tegevuskava'!Z37</f>
        <v>0</v>
      </c>
      <c r="L46" s="58" t="str">
        <f>"(55)"</f>
        <v>(55)</v>
      </c>
      <c r="M46" s="59">
        <f>'kuni 2025 detsember tegevuskava'!AC37</f>
        <v>30000</v>
      </c>
      <c r="N46" s="58" t="str">
        <f>"(55)"</f>
        <v>(55)</v>
      </c>
      <c r="O46" s="59">
        <f>'kuni 2025 detsember tegevuskava'!AF37</f>
        <v>0</v>
      </c>
      <c r="P46" s="66" t="str">
        <f>"(55)"</f>
        <v>(55)</v>
      </c>
    </row>
    <row r="47" spans="2:18" ht="16.5" x14ac:dyDescent="0.35">
      <c r="B47" s="1052"/>
      <c r="C47" s="1055"/>
      <c r="D47" s="1055"/>
      <c r="E47" s="1058"/>
      <c r="F47" s="1055"/>
      <c r="G47" s="983"/>
      <c r="H47" s="968"/>
      <c r="I47" s="144" t="s">
        <v>569</v>
      </c>
      <c r="J47" s="8"/>
      <c r="K47" s="8"/>
      <c r="L47" s="8"/>
      <c r="M47" s="8"/>
      <c r="N47" s="8"/>
      <c r="O47" s="8"/>
      <c r="P47" s="152"/>
    </row>
    <row r="48" spans="2:18" ht="16.5" x14ac:dyDescent="0.35">
      <c r="B48" s="1052"/>
      <c r="C48" s="1055"/>
      <c r="D48" s="1055"/>
      <c r="E48" s="1058"/>
      <c r="F48" s="1055"/>
      <c r="G48" s="983"/>
      <c r="H48" s="968"/>
      <c r="I48" s="161">
        <f>SUM(I49:I49)</f>
        <v>36600</v>
      </c>
      <c r="J48" s="55"/>
      <c r="K48" s="161">
        <f>SUM(K49:K49)</f>
        <v>0</v>
      </c>
      <c r="L48" s="56"/>
      <c r="M48" s="161">
        <f>SUM(M49:M49)</f>
        <v>36600</v>
      </c>
      <c r="N48" s="103"/>
      <c r="O48" s="142">
        <f>SUM(O49:O49)</f>
        <v>0</v>
      </c>
      <c r="P48" s="127"/>
    </row>
    <row r="49" spans="2:16" ht="20" customHeight="1" thickBot="1" x14ac:dyDescent="0.4">
      <c r="B49" s="1053"/>
      <c r="C49" s="1056"/>
      <c r="D49" s="1056"/>
      <c r="E49" s="1059"/>
      <c r="F49" s="1056"/>
      <c r="G49" s="985"/>
      <c r="H49" s="176"/>
      <c r="I49" s="993">
        <f t="shared" ref="I49" si="7">SUM(K49+M49+O49)</f>
        <v>36600</v>
      </c>
      <c r="J49" s="68" t="str">
        <f>"(55)"</f>
        <v>(55)</v>
      </c>
      <c r="K49" s="69">
        <f>SUM(K46*1.2)</f>
        <v>0</v>
      </c>
      <c r="L49" s="68" t="str">
        <f>"(55)"</f>
        <v>(55)</v>
      </c>
      <c r="M49" s="69">
        <f>SUM(M46*1.22)</f>
        <v>36600</v>
      </c>
      <c r="N49" s="68" t="str">
        <f>"(55)"</f>
        <v>(55)</v>
      </c>
      <c r="O49" s="69">
        <f>SUM(O46*1.22)</f>
        <v>0</v>
      </c>
      <c r="P49" s="70" t="str">
        <f>"(55)"</f>
        <v>(55)</v>
      </c>
    </row>
    <row r="50" spans="2:16" ht="16.5" x14ac:dyDescent="0.35">
      <c r="B50" s="1051" t="str">
        <f>'kuni 2025 detsember tegevuskava'!A38&amp;"/"&amp;'kuni 2025 detsember tegevuskava'!B38</f>
        <v>MKM/TTJA</v>
      </c>
      <c r="C50" s="1054" t="str">
        <f>'kuni 2025 detsember tegevuskava'!I38</f>
        <v>Puudub võimekus protsessimootor  mikroarhitektuuri integreerida.</v>
      </c>
      <c r="D50" s="1054" t="str">
        <f>'kuni 2025 detsember tegevuskava'!J38</f>
        <v>Protsessimootri kasutuselevõtu lahenduse väljatöötamine (2021-27 SF)</v>
      </c>
      <c r="E50" s="1057" t="str">
        <f>'kuni 2025 detsember tegevuskava'!K38</f>
        <v>On valminud protsessi juhtimise tarkvarade võrdlev analüüs</v>
      </c>
      <c r="F50" s="1054" t="str">
        <f>'kuni 2025 detsember tegevuskava'!P38&amp;"/"</f>
        <v>SF 21-27 (taotletav raha)/</v>
      </c>
      <c r="G50" s="984" cm="1">
        <f t="array" ref="G50">_xlfn.IFS('kuni 2025 detsember tegevuskava'!G38='kuni 2025 detsember tegevuskava'!$G$107,1,'kuni 2025 detsember tegevuskava'!G38='kuni 2025 detsember tegevuskava'!$G$108,2,'kuni 2025 detsember tegevuskava'!G38='kuni 2025 detsember tegevuskava'!$G$109,3,'kuni 2025 detsember tegevuskava'!G38='kuni 2025 detsember tegevuskava'!$G$110,4)</f>
        <v>1</v>
      </c>
      <c r="H50" s="177" cm="1">
        <f t="array" ref="H50">_xlfn.IFS(OR('kuni 2025 detsember tegevuskava'!P38='kuni 2025 detsember tegevuskava'!$P$107,'kuni 2025 detsember tegevuskava'!P38='kuni 2025 detsember tegevuskava'!$P$109,'kuni 2025 detsember tegevuskava'!P38='kuni 2025 detsember tegevuskava'!$P$110,'kuni 2025 detsember tegevuskava'!P38='kuni 2025 detsember tegevuskava'!$P$111),1,'kuni 2025 detsember tegevuskava'!P38='kuni 2025 detsember tegevuskava'!$P$112,2,'kuni 2025 detsember tegevuskava'!P38='kuni 2025 detsember tegevuskava'!$P$113,2,'kuni 2025 detsember tegevuskava'!P38='kuni 2025 detsember tegevuskava'!$P$108,3)</f>
        <v>2</v>
      </c>
      <c r="I50" s="132">
        <f>SUM(I51:I51)</f>
        <v>25000</v>
      </c>
      <c r="J50" s="61"/>
      <c r="K50" s="132">
        <f>SUM(K51:K51)</f>
        <v>0</v>
      </c>
      <c r="L50" s="62"/>
      <c r="M50" s="132">
        <f>SUM(M51:M51)</f>
        <v>25000</v>
      </c>
      <c r="N50" s="63"/>
      <c r="O50" s="60">
        <f>SUM(O51:O51)</f>
        <v>0</v>
      </c>
      <c r="P50" s="64"/>
    </row>
    <row r="51" spans="2:16" ht="16.5" x14ac:dyDescent="0.35">
      <c r="B51" s="1052"/>
      <c r="C51" s="1055"/>
      <c r="D51" s="1055"/>
      <c r="E51" s="1058"/>
      <c r="F51" s="1055"/>
      <c r="G51" s="983"/>
      <c r="H51" s="968"/>
      <c r="I51" s="130">
        <f t="shared" ref="I51" si="8">SUM(K51+M51+O51)</f>
        <v>25000</v>
      </c>
      <c r="J51" s="58" t="str">
        <f>"(55)"</f>
        <v>(55)</v>
      </c>
      <c r="K51" s="59">
        <f>'kuni 2025 detsember tegevuskava'!Z38</f>
        <v>0</v>
      </c>
      <c r="L51" s="58" t="str">
        <f>"(55)"</f>
        <v>(55)</v>
      </c>
      <c r="M51" s="59">
        <f>'kuni 2025 detsember tegevuskava'!AC38</f>
        <v>25000</v>
      </c>
      <c r="N51" s="58" t="str">
        <f>"(55)"</f>
        <v>(55)</v>
      </c>
      <c r="O51" s="59">
        <f>'kuni 2025 detsember tegevuskava'!AF38</f>
        <v>0</v>
      </c>
      <c r="P51" s="66" t="str">
        <f>"(55)"</f>
        <v>(55)</v>
      </c>
    </row>
    <row r="52" spans="2:16" ht="16.5" x14ac:dyDescent="0.35">
      <c r="B52" s="1052"/>
      <c r="C52" s="1055"/>
      <c r="D52" s="1055"/>
      <c r="E52" s="1058"/>
      <c r="F52" s="1055"/>
      <c r="G52" s="983"/>
      <c r="H52" s="968"/>
      <c r="I52" s="169" t="s">
        <v>569</v>
      </c>
      <c r="J52" s="8"/>
      <c r="K52" s="8"/>
      <c r="L52" s="8"/>
      <c r="M52" s="8"/>
      <c r="N52" s="8"/>
      <c r="O52" s="8"/>
      <c r="P52" s="152"/>
    </row>
    <row r="53" spans="2:16" ht="16.5" x14ac:dyDescent="0.35">
      <c r="B53" s="1052"/>
      <c r="C53" s="1055"/>
      <c r="D53" s="1055"/>
      <c r="E53" s="1058"/>
      <c r="F53" s="1055"/>
      <c r="G53" s="983"/>
      <c r="H53" s="968"/>
      <c r="I53" s="161">
        <f>SUM(I54:I54)</f>
        <v>30500</v>
      </c>
      <c r="J53" s="55"/>
      <c r="K53" s="161">
        <f>SUM(K54:K54)</f>
        <v>0</v>
      </c>
      <c r="L53" s="56"/>
      <c r="M53" s="161">
        <f>SUM(M54:M54)</f>
        <v>30500</v>
      </c>
      <c r="N53" s="103"/>
      <c r="O53" s="161">
        <f>SUM(O54:O54)</f>
        <v>0</v>
      </c>
      <c r="P53" s="127"/>
    </row>
    <row r="54" spans="2:16" ht="22.5" customHeight="1" thickBot="1" x14ac:dyDescent="0.4">
      <c r="B54" s="1053"/>
      <c r="C54" s="1056"/>
      <c r="D54" s="1056"/>
      <c r="E54" s="1059"/>
      <c r="F54" s="1056"/>
      <c r="G54" s="985"/>
      <c r="H54" s="176"/>
      <c r="I54" s="993">
        <f t="shared" ref="I54" si="9">SUM(K54+M54+O54)</f>
        <v>30500</v>
      </c>
      <c r="J54" s="68" t="str">
        <f>"(55)"</f>
        <v>(55)</v>
      </c>
      <c r="K54" s="69">
        <f>SUM(K51*1.2)</f>
        <v>0</v>
      </c>
      <c r="L54" s="68" t="str">
        <f>"(55)"</f>
        <v>(55)</v>
      </c>
      <c r="M54" s="69">
        <f>SUM(M51*1.22)</f>
        <v>30500</v>
      </c>
      <c r="N54" s="68" t="str">
        <f>"(55)"</f>
        <v>(55)</v>
      </c>
      <c r="O54" s="69">
        <f>SUM(O51*1.22)</f>
        <v>0</v>
      </c>
      <c r="P54" s="70" t="str">
        <f>"(55)"</f>
        <v>(55)</v>
      </c>
    </row>
    <row r="55" spans="2:16" ht="16.5" x14ac:dyDescent="0.35">
      <c r="B55" s="1051" t="str">
        <f>'kuni 2025 detsember tegevuskava'!A39&amp;"/"&amp;'kuni 2025 detsember tegevuskava'!B39</f>
        <v>MKM/TTJA</v>
      </c>
      <c r="C55" s="1054" t="str">
        <f>'kuni 2025 detsember tegevuskava'!I39</f>
        <v>TTJAl puudub võimekus analüütiku ja koolituste osas</v>
      </c>
      <c r="D55" s="1054" t="str">
        <f>'kuni 2025 detsember tegevuskava'!J39</f>
        <v>TTJA võimestamine digipöörde elluviimiseks (nt analüütikud, disainer, koolitused) (2021-27 SF)</v>
      </c>
      <c r="E55" s="1057" t="str">
        <f>'kuni 2025 detsember tegevuskava'!K39</f>
        <v>Digipöörde elluviimiseks on värvatud nt analüütikud, disainer, kompetentsid on tugevdatud</v>
      </c>
      <c r="F55" s="1054" t="str">
        <f>'kuni 2025 detsember tegevuskava'!P39&amp;"/"</f>
        <v>SF 21-27 (taotletav raha)/</v>
      </c>
      <c r="G55" s="984" cm="1">
        <f t="array" ref="G55">_xlfn.IFS('kuni 2025 detsember tegevuskava'!G39='kuni 2025 detsember tegevuskava'!$G$107,1,'kuni 2025 detsember tegevuskava'!G39='kuni 2025 detsember tegevuskava'!$G$108,2,'kuni 2025 detsember tegevuskava'!G39='kuni 2025 detsember tegevuskava'!$G$109,3,'kuni 2025 detsember tegevuskava'!G39='kuni 2025 detsember tegevuskava'!$G$110,4)</f>
        <v>3</v>
      </c>
      <c r="H55" s="177" cm="1">
        <f t="array" ref="H55">_xlfn.IFS(OR('kuni 2025 detsember tegevuskava'!P39='kuni 2025 detsember tegevuskava'!$P$107,'kuni 2025 detsember tegevuskava'!P39='kuni 2025 detsember tegevuskava'!$P$109,'kuni 2025 detsember tegevuskava'!P39='kuni 2025 detsember tegevuskava'!$P$110,'kuni 2025 detsember tegevuskava'!P39='kuni 2025 detsember tegevuskava'!$P$111),1,'kuni 2025 detsember tegevuskava'!P39='kuni 2025 detsember tegevuskava'!$P$112,2,'kuni 2025 detsember tegevuskava'!P39='kuni 2025 detsember tegevuskava'!$P$113,2,'kuni 2025 detsember tegevuskava'!P39='kuni 2025 detsember tegevuskava'!$P$108,3)</f>
        <v>2</v>
      </c>
      <c r="I55" s="125">
        <f>SUM(I56:I57)</f>
        <v>467102</v>
      </c>
      <c r="J55" s="126"/>
      <c r="K55" s="79">
        <f>SUM(K56:K57)</f>
        <v>19102</v>
      </c>
      <c r="L55" s="165"/>
      <c r="M55" s="79">
        <f>SUM(M56:M57)</f>
        <v>224000</v>
      </c>
      <c r="N55" s="82"/>
      <c r="O55" s="79">
        <f>SUM(O56:O57)</f>
        <v>224000</v>
      </c>
      <c r="P55" s="83"/>
    </row>
    <row r="56" spans="2:16" ht="16.5" x14ac:dyDescent="0.35">
      <c r="B56" s="1052"/>
      <c r="C56" s="1055"/>
      <c r="D56" s="1055"/>
      <c r="E56" s="1058"/>
      <c r="F56" s="1055"/>
      <c r="G56" s="983"/>
      <c r="H56" s="968"/>
      <c r="I56" s="98">
        <f>SUM(K56+M56+O56)</f>
        <v>439926</v>
      </c>
      <c r="J56" s="970" t="str">
        <f>"(50)"</f>
        <v>(50)</v>
      </c>
      <c r="K56" s="84">
        <f>'kuni 2025 detsember tegevuskava'!Y39</f>
        <v>11926</v>
      </c>
      <c r="L56" s="970" t="str">
        <f>"(50)"</f>
        <v>(50)</v>
      </c>
      <c r="M56" s="84">
        <f>'kuni 2025 detsember tegevuskava'!AB39</f>
        <v>214000</v>
      </c>
      <c r="N56" s="970" t="str">
        <f>"(50)"</f>
        <v>(50)</v>
      </c>
      <c r="O56" s="84">
        <f>'kuni 2025 detsember tegevuskava'!AE39</f>
        <v>214000</v>
      </c>
      <c r="P56" s="85" t="str">
        <f>"(50)"</f>
        <v>(50)</v>
      </c>
    </row>
    <row r="57" spans="2:16" ht="16.5" x14ac:dyDescent="0.35">
      <c r="B57" s="1052"/>
      <c r="C57" s="1055"/>
      <c r="D57" s="1055"/>
      <c r="E57" s="1058"/>
      <c r="F57" s="1055"/>
      <c r="G57" s="983"/>
      <c r="H57" s="968"/>
      <c r="I57" s="98">
        <f>SUM(K57+M57+O57)</f>
        <v>27176</v>
      </c>
      <c r="J57" s="970" t="str">
        <f>"(55)"</f>
        <v>(55)</v>
      </c>
      <c r="K57" s="84">
        <f>'kuni 2025 detsember tegevuskava'!Z39</f>
        <v>7176</v>
      </c>
      <c r="L57" s="970" t="str">
        <f>"(55)"</f>
        <v>(55)</v>
      </c>
      <c r="M57" s="84">
        <f>'kuni 2025 detsember tegevuskava'!AC39</f>
        <v>10000</v>
      </c>
      <c r="N57" s="970" t="str">
        <f>"(55)"</f>
        <v>(55)</v>
      </c>
      <c r="O57" s="84">
        <f>'kuni 2025 detsember tegevuskava'!AF39</f>
        <v>10000</v>
      </c>
      <c r="P57" s="85" t="str">
        <f>"(55)"</f>
        <v>(55)</v>
      </c>
    </row>
    <row r="58" spans="2:16" ht="16.5" x14ac:dyDescent="0.35">
      <c r="B58" s="1052"/>
      <c r="C58" s="1055"/>
      <c r="D58" s="1055"/>
      <c r="E58" s="1058"/>
      <c r="F58" s="1055"/>
      <c r="G58" s="983"/>
      <c r="H58" s="968"/>
      <c r="I58" s="172" t="s">
        <v>569</v>
      </c>
      <c r="J58" s="178"/>
      <c r="K58" s="178"/>
      <c r="L58" s="178"/>
      <c r="M58" s="178"/>
      <c r="N58" s="178"/>
      <c r="O58" s="178"/>
      <c r="P58" s="179"/>
    </row>
    <row r="59" spans="2:16" ht="16.5" x14ac:dyDescent="0.35">
      <c r="B59" s="1052"/>
      <c r="C59" s="1055"/>
      <c r="D59" s="1055"/>
      <c r="E59" s="1058"/>
      <c r="F59" s="1055"/>
      <c r="G59" s="983"/>
      <c r="H59" s="968"/>
      <c r="I59" s="168">
        <f>SUM(I60:I61)</f>
        <v>472937.2</v>
      </c>
      <c r="J59" s="99"/>
      <c r="K59" s="974">
        <f>SUM(K60:K61)</f>
        <v>20537.199999999997</v>
      </c>
      <c r="L59" s="975"/>
      <c r="M59" s="974">
        <f>SUM(M60:M61)</f>
        <v>226200</v>
      </c>
      <c r="O59" s="168">
        <f>SUM(O60:O61)</f>
        <v>226200</v>
      </c>
      <c r="P59" s="67"/>
    </row>
    <row r="60" spans="2:16" ht="16.5" x14ac:dyDescent="0.35">
      <c r="B60" s="1052"/>
      <c r="C60" s="1055"/>
      <c r="D60" s="1055"/>
      <c r="E60" s="1058"/>
      <c r="F60" s="1055"/>
      <c r="G60" s="983"/>
      <c r="H60" s="968"/>
      <c r="I60" s="98">
        <f>SUM(K60+M60+O60)</f>
        <v>439926</v>
      </c>
      <c r="J60" s="970" t="str">
        <f>"(50)"</f>
        <v>(50)</v>
      </c>
      <c r="K60" s="84">
        <f>K56</f>
        <v>11926</v>
      </c>
      <c r="L60" s="970" t="str">
        <f>"(50)"</f>
        <v>(50)</v>
      </c>
      <c r="M60" s="84">
        <f>M56</f>
        <v>214000</v>
      </c>
      <c r="N60" s="970" t="str">
        <f>"(50)"</f>
        <v>(50)</v>
      </c>
      <c r="O60" s="84">
        <f>O56</f>
        <v>214000</v>
      </c>
      <c r="P60" s="85" t="str">
        <f>"(50)"</f>
        <v>(50)</v>
      </c>
    </row>
    <row r="61" spans="2:16" ht="17" thickBot="1" x14ac:dyDescent="0.4">
      <c r="B61" s="1053"/>
      <c r="C61" s="1056"/>
      <c r="D61" s="1056"/>
      <c r="E61" s="1059"/>
      <c r="F61" s="1056"/>
      <c r="G61" s="985"/>
      <c r="H61" s="176"/>
      <c r="I61" s="123">
        <f>SUM(K61+M61+O61)</f>
        <v>33011.199999999997</v>
      </c>
      <c r="J61" s="92" t="str">
        <f>"(55)"</f>
        <v>(55)</v>
      </c>
      <c r="K61" s="93">
        <f>SUM(K57*1.2)</f>
        <v>8611.1999999999989</v>
      </c>
      <c r="L61" s="92" t="str">
        <f>"(55)"</f>
        <v>(55)</v>
      </c>
      <c r="M61" s="93">
        <f>SUM(M57*1.22)</f>
        <v>12200</v>
      </c>
      <c r="N61" s="92" t="str">
        <f>"(55)"</f>
        <v>(55)</v>
      </c>
      <c r="O61" s="93">
        <f>SUM(O57*1.22)</f>
        <v>12200</v>
      </c>
      <c r="P61" s="94" t="str">
        <f>"(55)"</f>
        <v>(55)</v>
      </c>
    </row>
    <row r="62" spans="2:16" ht="16.5" x14ac:dyDescent="0.35">
      <c r="B62" s="1052" t="str">
        <f>'kuni 2025 detsember tegevuskava'!A40&amp;"/"&amp;'kuni 2025 detsember tegevuskava'!B40</f>
        <v>MKM/TTJA</v>
      </c>
      <c r="C62" s="1055" t="str">
        <f>'kuni 2025 detsember tegevuskava'!I40</f>
        <v>Teenuste portfelli nõuded ei ole vastavuses suundade ja nõuetega</v>
      </c>
      <c r="D62" s="1055" t="str">
        <f>'kuni 2025 detsember tegevuskava'!J40</f>
        <v>TTJA teenuste portfelli ärianalüüs, tegevuskava teenuste vastavusse viimiseks haldusala üldiste suundade/nõuetega</v>
      </c>
      <c r="E62" s="1058" t="str">
        <f>'kuni 2025 detsember tegevuskava'!K40</f>
        <v>Ärianalüüs ja tegevuskava olemas</v>
      </c>
      <c r="F62" s="1055" t="str">
        <f>'kuni 2025 detsember tegevuskava'!P40&amp;"/"</f>
        <v>SF 21-27 (taotletav raha)/</v>
      </c>
      <c r="G62" s="983" cm="1">
        <f t="array" ref="G62">_xlfn.IFS('kuni 2025 detsember tegevuskava'!G40='kuni 2025 detsember tegevuskava'!$G$107,1,'kuni 2025 detsember tegevuskava'!G40='kuni 2025 detsember tegevuskava'!$G$108,2,'kuni 2025 detsember tegevuskava'!G40='kuni 2025 detsember tegevuskava'!$G$109,3,'kuni 2025 detsember tegevuskava'!G40='kuni 2025 detsember tegevuskava'!$G$110,4)</f>
        <v>1</v>
      </c>
      <c r="H62" s="968" cm="1">
        <f t="array" ref="H62">_xlfn.IFS(OR('kuni 2025 detsember tegevuskava'!P40='kuni 2025 detsember tegevuskava'!$P$107,'kuni 2025 detsember tegevuskava'!P40='kuni 2025 detsember tegevuskava'!$P$109,'kuni 2025 detsember tegevuskava'!P40='kuni 2025 detsember tegevuskava'!$P$110,'kuni 2025 detsember tegevuskava'!P40='kuni 2025 detsember tegevuskava'!$P$111),1,'kuni 2025 detsember tegevuskava'!P40='kuni 2025 detsember tegevuskava'!$P$112,2,'kuni 2025 detsember tegevuskava'!P40='kuni 2025 detsember tegevuskava'!$P$113,2,'kuni 2025 detsember tegevuskava'!P40='kuni 2025 detsember tegevuskava'!$P$108,3)</f>
        <v>2</v>
      </c>
      <c r="I62" s="168">
        <f>SUM(I63:I63)</f>
        <v>5000</v>
      </c>
      <c r="J62" s="970"/>
      <c r="K62" s="168">
        <f>SUM(K63:K63)</f>
        <v>0</v>
      </c>
      <c r="L62" s="976"/>
      <c r="M62" s="168">
        <f>SUM(M63:M63)</f>
        <v>5000</v>
      </c>
      <c r="N62" s="992"/>
      <c r="O62" s="974">
        <f>SUM(O63:O63)</f>
        <v>0</v>
      </c>
      <c r="P62" s="85"/>
    </row>
    <row r="63" spans="2:16" ht="16.5" x14ac:dyDescent="0.35">
      <c r="B63" s="1052"/>
      <c r="C63" s="1055"/>
      <c r="D63" s="1055"/>
      <c r="E63" s="1058"/>
      <c r="F63" s="1055"/>
      <c r="G63" s="983"/>
      <c r="H63" s="968"/>
      <c r="I63" s="98">
        <f>SUM(K63+M63+O63)</f>
        <v>5000</v>
      </c>
      <c r="J63" s="86" t="str">
        <f>"(55)"</f>
        <v>(55)</v>
      </c>
      <c r="K63" s="87">
        <f>'kuni 2025 detsember tegevuskava'!Z40</f>
        <v>0</v>
      </c>
      <c r="L63" s="86" t="str">
        <f>"(55)"</f>
        <v>(55)</v>
      </c>
      <c r="M63" s="87">
        <f>'kuni 2025 detsember tegevuskava'!AC40</f>
        <v>5000</v>
      </c>
      <c r="N63" s="86" t="str">
        <f>"(55)"</f>
        <v>(55)</v>
      </c>
      <c r="O63" s="87">
        <f>'kuni 2025 detsember tegevuskava'!AF40</f>
        <v>0</v>
      </c>
      <c r="P63" s="88" t="str">
        <f>"(55)"</f>
        <v>(55)</v>
      </c>
    </row>
    <row r="64" spans="2:16" ht="16.5" x14ac:dyDescent="0.35">
      <c r="B64" s="1052"/>
      <c r="C64" s="1055"/>
      <c r="D64" s="1055"/>
      <c r="E64" s="1058"/>
      <c r="F64" s="1055"/>
      <c r="G64" s="983"/>
      <c r="H64" s="968"/>
      <c r="I64" s="170" t="s">
        <v>569</v>
      </c>
      <c r="J64" s="8"/>
      <c r="K64" s="8"/>
      <c r="L64" s="8"/>
      <c r="M64" s="8"/>
      <c r="N64" s="8"/>
      <c r="O64" s="8"/>
      <c r="P64" s="152"/>
    </row>
    <row r="65" spans="2:16" ht="16.5" x14ac:dyDescent="0.35">
      <c r="B65" s="1052"/>
      <c r="C65" s="1055"/>
      <c r="D65" s="1055"/>
      <c r="E65" s="1058"/>
      <c r="F65" s="1055"/>
      <c r="G65" s="983"/>
      <c r="H65" s="968"/>
      <c r="I65" s="168">
        <f>SUM(I66:I66)</f>
        <v>6100</v>
      </c>
      <c r="J65" s="164"/>
      <c r="K65" s="89">
        <f>SUM(K66:K66)</f>
        <v>0</v>
      </c>
      <c r="L65" s="90"/>
      <c r="M65" s="163">
        <f>SUM(M66:M66)</f>
        <v>6100</v>
      </c>
      <c r="N65" s="103"/>
      <c r="O65" s="163">
        <f>SUM(O66:O66)</f>
        <v>0</v>
      </c>
      <c r="P65" s="127"/>
    </row>
    <row r="66" spans="2:16" ht="17" thickBot="1" x14ac:dyDescent="0.4">
      <c r="B66" s="1053"/>
      <c r="C66" s="1056"/>
      <c r="D66" s="1056"/>
      <c r="E66" s="1059"/>
      <c r="F66" s="1056"/>
      <c r="G66" s="985"/>
      <c r="H66" s="176"/>
      <c r="I66" s="123">
        <f>SUM(K66+M66+O66)</f>
        <v>6100</v>
      </c>
      <c r="J66" s="92" t="str">
        <f>"(55)"</f>
        <v>(55)</v>
      </c>
      <c r="K66" s="93">
        <f>SUM(K63*1.2)</f>
        <v>0</v>
      </c>
      <c r="L66" s="92" t="str">
        <f>"(55)"</f>
        <v>(55)</v>
      </c>
      <c r="M66" s="93">
        <f>SUM(M63*1.22)</f>
        <v>6100</v>
      </c>
      <c r="N66" s="92" t="str">
        <f>"(55)"</f>
        <v>(55)</v>
      </c>
      <c r="O66" s="93">
        <f>SUM(O63*1.22)</f>
        <v>0</v>
      </c>
      <c r="P66" s="94" t="str">
        <f>"(55)"</f>
        <v>(55)</v>
      </c>
    </row>
    <row r="67" spans="2:16" ht="16.5" x14ac:dyDescent="0.35">
      <c r="B67" s="1051" t="str">
        <f>'kuni 2025 detsember tegevuskava'!A41&amp;"/"&amp;'kuni 2025 detsember tegevuskava'!B41</f>
        <v>MKM/TTJA</v>
      </c>
      <c r="C67" s="1054" t="str">
        <f>'kuni 2025 detsember tegevuskava'!I41</f>
        <v>Klienditoe teenus on killustatud ja pole ühtselt hallatud.</v>
      </c>
      <c r="D67" s="1054" t="str">
        <f>'kuni 2025 detsember tegevuskava'!J41</f>
        <v>klienditoe teenuse I etapi käivitamine</v>
      </c>
      <c r="E67" s="1057" t="str">
        <f>'kuni 2025 detsember tegevuskava'!K41</f>
        <v>Klienditoe I etapp on käivitatud</v>
      </c>
      <c r="F67" s="1054" t="str">
        <f>'kuni 2025 detsember tegevuskava'!P41&amp;"/"</f>
        <v>SF 21-27 (taotletav raha)/</v>
      </c>
      <c r="G67" s="984" cm="1">
        <f t="array" ref="G67">_xlfn.IFS('kuni 2025 detsember tegevuskava'!G41='kuni 2025 detsember tegevuskava'!$G$107,1,'kuni 2025 detsember tegevuskava'!G41='kuni 2025 detsember tegevuskava'!$G$108,2,'kuni 2025 detsember tegevuskava'!G41='kuni 2025 detsember tegevuskava'!$G$109,3,'kuni 2025 detsember tegevuskava'!G41='kuni 2025 detsember tegevuskava'!$G$110,4)</f>
        <v>1</v>
      </c>
      <c r="H67" s="177" cm="1">
        <f t="array" ref="H67">_xlfn.IFS(OR('kuni 2025 detsember tegevuskava'!P41='kuni 2025 detsember tegevuskava'!$P$107,'kuni 2025 detsember tegevuskava'!P41='kuni 2025 detsember tegevuskava'!$P$109,'kuni 2025 detsember tegevuskava'!P41='kuni 2025 detsember tegevuskava'!$P$110,'kuni 2025 detsember tegevuskava'!P41='kuni 2025 detsember tegevuskava'!$P$111),1,'kuni 2025 detsember tegevuskava'!P41='kuni 2025 detsember tegevuskava'!$P$112,2,'kuni 2025 detsember tegevuskava'!P41='kuni 2025 detsember tegevuskava'!$P$113,2,'kuni 2025 detsember tegevuskava'!P41='kuni 2025 detsember tegevuskava'!$P$108,3)</f>
        <v>2</v>
      </c>
      <c r="I67" s="125">
        <f>SUM(I68:I68)</f>
        <v>5000</v>
      </c>
      <c r="J67" s="80"/>
      <c r="K67" s="125">
        <f>SUM(K68:K68)</f>
        <v>0</v>
      </c>
      <c r="L67" s="81"/>
      <c r="M67" s="125">
        <f>SUM(M68:M68)</f>
        <v>5000</v>
      </c>
      <c r="N67" s="82"/>
      <c r="O67" s="79">
        <f>SUM(O68:O68)</f>
        <v>0</v>
      </c>
      <c r="P67" s="83"/>
    </row>
    <row r="68" spans="2:16" ht="16.5" x14ac:dyDescent="0.35">
      <c r="B68" s="1052"/>
      <c r="C68" s="1055"/>
      <c r="D68" s="1055"/>
      <c r="E68" s="1058"/>
      <c r="F68" s="1055"/>
      <c r="G68" s="983"/>
      <c r="H68" s="968"/>
      <c r="I68" s="100">
        <f>SUM(K68+M68+O68)</f>
        <v>5000</v>
      </c>
      <c r="J68" s="86" t="str">
        <f>"(55)"</f>
        <v>(55)</v>
      </c>
      <c r="K68" s="87">
        <f>'kuni 2025 detsember tegevuskava'!Z41</f>
        <v>0</v>
      </c>
      <c r="L68" s="86" t="str">
        <f>"(55)"</f>
        <v>(55)</v>
      </c>
      <c r="M68" s="87">
        <f>'kuni 2025 detsember tegevuskava'!AC41</f>
        <v>5000</v>
      </c>
      <c r="N68" s="86" t="str">
        <f>"(55)"</f>
        <v>(55)</v>
      </c>
      <c r="O68" s="87">
        <f>'kuni 2025 detsember tegevuskava'!AF41</f>
        <v>0</v>
      </c>
      <c r="P68" s="88" t="str">
        <f>"(55)"</f>
        <v>(55)</v>
      </c>
    </row>
    <row r="69" spans="2:16" ht="16.5" x14ac:dyDescent="0.35">
      <c r="B69" s="1052"/>
      <c r="C69" s="1055"/>
      <c r="D69" s="1055"/>
      <c r="E69" s="1058"/>
      <c r="F69" s="1055"/>
      <c r="G69" s="983"/>
      <c r="H69" s="968"/>
      <c r="I69" s="145" t="s">
        <v>569</v>
      </c>
      <c r="J69" s="8"/>
      <c r="K69" s="8"/>
      <c r="L69" s="8"/>
      <c r="M69" s="8"/>
      <c r="N69" s="8"/>
      <c r="O69" s="8"/>
      <c r="P69" s="152"/>
    </row>
    <row r="70" spans="2:16" ht="16.5" x14ac:dyDescent="0.35">
      <c r="B70" s="1052"/>
      <c r="C70" s="1055"/>
      <c r="D70" s="1055"/>
      <c r="E70" s="1058"/>
      <c r="F70" s="1055"/>
      <c r="G70" s="983"/>
      <c r="H70" s="968"/>
      <c r="I70" s="168">
        <f>SUM(I71:I71)</f>
        <v>6100</v>
      </c>
      <c r="J70" s="104"/>
      <c r="K70" s="96">
        <f>SUM(K71:K71)</f>
        <v>0</v>
      </c>
      <c r="L70" s="105"/>
      <c r="M70" s="89">
        <f>SUM(M71:M71)</f>
        <v>6100</v>
      </c>
      <c r="N70" s="103"/>
      <c r="O70" s="163">
        <f>SUM(O71:O71)</f>
        <v>0</v>
      </c>
      <c r="P70" s="127"/>
    </row>
    <row r="71" spans="2:16" ht="17" thickBot="1" x14ac:dyDescent="0.4">
      <c r="B71" s="1053"/>
      <c r="C71" s="1056"/>
      <c r="D71" s="1056"/>
      <c r="E71" s="1059"/>
      <c r="F71" s="1056"/>
      <c r="G71" s="985"/>
      <c r="H71" s="176"/>
      <c r="I71" s="123">
        <f>SUM(K71+M71+O71)</f>
        <v>6100</v>
      </c>
      <c r="J71" s="92" t="str">
        <f>"(55)"</f>
        <v>(55)</v>
      </c>
      <c r="K71" s="123">
        <f>SUM(K68*1.2)</f>
        <v>0</v>
      </c>
      <c r="L71" s="124" t="str">
        <f>"(55)"</f>
        <v>(55)</v>
      </c>
      <c r="M71" s="91">
        <f>SUM(M68*1.22)</f>
        <v>6100</v>
      </c>
      <c r="N71" s="92" t="str">
        <f>"(55)"</f>
        <v>(55)</v>
      </c>
      <c r="O71" s="93">
        <f>SUM(O68*1.22)</f>
        <v>0</v>
      </c>
      <c r="P71" s="94" t="str">
        <f>"(55)"</f>
        <v>(55)</v>
      </c>
    </row>
    <row r="72" spans="2:16" ht="16.5" x14ac:dyDescent="0.35">
      <c r="B72" s="1051" t="str">
        <f>'kuni 2025 detsember tegevuskava'!A42&amp;"/"&amp;'kuni 2025 detsember tegevuskava'!B42</f>
        <v>MKM/TTJA</v>
      </c>
      <c r="C72" s="1054" t="str">
        <f>'kuni 2025 detsember tegevuskava'!I42</f>
        <v>E-teenuste infosüsteemi tootestamiseks puudub hea sisend, mille alusel arendusi tellida.</v>
      </c>
      <c r="D72" s="1054" t="str">
        <f>'kuni 2025 detsember tegevuskava'!J42</f>
        <v>e-teenuste infosüsteemi tootestamise analüüs</v>
      </c>
      <c r="E72" s="1057" t="str">
        <f>'kuni 2025 detsember tegevuskava'!K42</f>
        <v>e-teenuste analüüs on olemas</v>
      </c>
      <c r="F72" s="1054" t="str">
        <f>'kuni 2025 detsember tegevuskava'!P42&amp;"/"</f>
        <v>SF 21-27 (taotletav raha)/</v>
      </c>
      <c r="G72" s="984" cm="1">
        <f t="array" ref="G72">_xlfn.IFS('kuni 2025 detsember tegevuskava'!G42='kuni 2025 detsember tegevuskava'!$G$107,1,'kuni 2025 detsember tegevuskava'!G42='kuni 2025 detsember tegevuskava'!$G$108,2,'kuni 2025 detsember tegevuskava'!G42='kuni 2025 detsember tegevuskava'!$G$109,3,'kuni 2025 detsember tegevuskava'!G42='kuni 2025 detsember tegevuskava'!$G$110,4)</f>
        <v>1</v>
      </c>
      <c r="H72" s="177" cm="1">
        <f t="array" ref="H72">_xlfn.IFS(OR('kuni 2025 detsember tegevuskava'!P42='kuni 2025 detsember tegevuskava'!$P$107,'kuni 2025 detsember tegevuskava'!P42='kuni 2025 detsember tegevuskava'!$P$109,'kuni 2025 detsember tegevuskava'!P42='kuni 2025 detsember tegevuskava'!$P$110,'kuni 2025 detsember tegevuskava'!P42='kuni 2025 detsember tegevuskava'!$P$111),1,'kuni 2025 detsember tegevuskava'!P42='kuni 2025 detsember tegevuskava'!$P$112,2,'kuni 2025 detsember tegevuskava'!P42='kuni 2025 detsember tegevuskava'!$P$113,2,'kuni 2025 detsember tegevuskava'!P42='kuni 2025 detsember tegevuskava'!$P$108,3)</f>
        <v>2</v>
      </c>
      <c r="I72" s="125">
        <f>SUM(I73:I73)</f>
        <v>10000</v>
      </c>
      <c r="J72" s="126"/>
      <c r="K72" s="79">
        <f>SUM(K73:K73)</f>
        <v>0</v>
      </c>
      <c r="L72" s="81"/>
      <c r="M72" s="125">
        <f>SUM(M73:M73)</f>
        <v>10000</v>
      </c>
      <c r="N72" s="126"/>
      <c r="O72" s="79">
        <f>SUM(O73:O73)</f>
        <v>0</v>
      </c>
      <c r="P72" s="83"/>
    </row>
    <row r="73" spans="2:16" ht="16.5" x14ac:dyDescent="0.35">
      <c r="B73" s="1052"/>
      <c r="C73" s="1055"/>
      <c r="D73" s="1055"/>
      <c r="E73" s="1058"/>
      <c r="F73" s="1055"/>
      <c r="G73" s="983"/>
      <c r="H73" s="968"/>
      <c r="I73" s="100">
        <f>SUM(K73+M73+O73)</f>
        <v>10000</v>
      </c>
      <c r="J73" s="101" t="str">
        <f>"(55)"</f>
        <v>(55)</v>
      </c>
      <c r="K73" s="95">
        <f>'kuni 2025 detsember tegevuskava'!Z42</f>
        <v>0</v>
      </c>
      <c r="L73" s="86" t="str">
        <f>"(55)"</f>
        <v>(55)</v>
      </c>
      <c r="M73" s="100">
        <f>'kuni 2025 detsember tegevuskava'!AC42</f>
        <v>10000</v>
      </c>
      <c r="N73" s="101" t="str">
        <f>"(55)"</f>
        <v>(55)</v>
      </c>
      <c r="O73" s="95">
        <f>'kuni 2025 detsember tegevuskava'!AF42</f>
        <v>0</v>
      </c>
      <c r="P73" s="88" t="str">
        <f>"(55)"</f>
        <v>(55)</v>
      </c>
    </row>
    <row r="74" spans="2:16" ht="16.5" x14ac:dyDescent="0.35">
      <c r="B74" s="1052"/>
      <c r="C74" s="1055"/>
      <c r="D74" s="1055"/>
      <c r="E74" s="1058"/>
      <c r="F74" s="1055"/>
      <c r="G74" s="983"/>
      <c r="H74" s="968"/>
      <c r="I74" s="129" t="s">
        <v>569</v>
      </c>
      <c r="J74" s="8"/>
      <c r="K74" s="8"/>
      <c r="L74" s="8"/>
      <c r="M74" s="8"/>
      <c r="N74" s="8"/>
      <c r="O74" s="8"/>
      <c r="P74" s="152"/>
    </row>
    <row r="75" spans="2:16" ht="16.5" x14ac:dyDescent="0.35">
      <c r="B75" s="1052"/>
      <c r="C75" s="1055"/>
      <c r="D75" s="1055"/>
      <c r="E75" s="1058"/>
      <c r="F75" s="1055"/>
      <c r="G75" s="983"/>
      <c r="H75" s="968"/>
      <c r="I75" s="96">
        <f>SUM(I76:I76)</f>
        <v>12200</v>
      </c>
      <c r="J75" s="97"/>
      <c r="K75" s="89">
        <f>SUM(K76:K76)</f>
        <v>0</v>
      </c>
      <c r="L75" s="90"/>
      <c r="M75" s="96">
        <f>SUM(M76:M76)</f>
        <v>12200</v>
      </c>
      <c r="N75" s="103"/>
      <c r="O75" s="96">
        <f>SUM(O76:O76)</f>
        <v>0</v>
      </c>
      <c r="P75" s="127"/>
    </row>
    <row r="76" spans="2:16" ht="17" thickBot="1" x14ac:dyDescent="0.4">
      <c r="B76" s="1053"/>
      <c r="C76" s="1056"/>
      <c r="D76" s="1056"/>
      <c r="E76" s="1059"/>
      <c r="F76" s="1056"/>
      <c r="G76" s="985"/>
      <c r="H76" s="176"/>
      <c r="I76" s="123">
        <f>SUM(K76+M76+O76)</f>
        <v>12200</v>
      </c>
      <c r="J76" s="124" t="str">
        <f>"(55)"</f>
        <v>(55)</v>
      </c>
      <c r="K76" s="91">
        <f>SUM(K73*1.2)</f>
        <v>0</v>
      </c>
      <c r="L76" s="92" t="str">
        <f>"(55)"</f>
        <v>(55)</v>
      </c>
      <c r="M76" s="123">
        <f>SUM(M73*1.22)</f>
        <v>12200</v>
      </c>
      <c r="N76" s="92" t="str">
        <f>"(55)"</f>
        <v>(55)</v>
      </c>
      <c r="O76" s="123">
        <f>SUM(O73*1.22)</f>
        <v>0</v>
      </c>
      <c r="P76" s="94" t="str">
        <f>"(55)"</f>
        <v>(55)</v>
      </c>
    </row>
    <row r="77" spans="2:16" ht="16.5" x14ac:dyDescent="0.35">
      <c r="B77" s="1051" t="str">
        <f>'kuni 2025 detsember tegevuskava'!A43&amp;"/"&amp;'kuni 2025 detsember tegevuskava'!B43</f>
        <v>MKM/KEMIT</v>
      </c>
      <c r="C77" s="1054" t="str">
        <f>'kuni 2025 detsember tegevuskava'!I43</f>
        <v>Direktiivide ülevõtmiseks ja andmete liidestumiseks puudub selge teadmine.</v>
      </c>
      <c r="D77" s="1054" t="str">
        <f>'kuni 2025 detsember tegevuskava'!J43</f>
        <v>EU direktiivinõuete täitmiseks andmeliidestuse mikroteenuse analüüs ja arendus</v>
      </c>
      <c r="E77" s="1057" t="str">
        <f>'kuni 2025 detsember tegevuskava'!K43</f>
        <v xml:space="preserve">Teostatud on arendusprojekt liidestuste loomiseks  </v>
      </c>
      <c r="F77" s="1054" t="str">
        <f>'kuni 2025 detsember tegevuskava'!P43&amp;"/"</f>
        <v>SF 21-27 (taotletav raha)/</v>
      </c>
      <c r="G77" s="984" cm="1">
        <f t="array" ref="G77">_xlfn.IFS('kuni 2025 detsember tegevuskava'!G43='kuni 2025 detsember tegevuskava'!$G$107,1,'kuni 2025 detsember tegevuskava'!G43='kuni 2025 detsember tegevuskava'!$G$108,2,'kuni 2025 detsember tegevuskava'!G43='kuni 2025 detsember tegevuskava'!$G$109,3,'kuni 2025 detsember tegevuskava'!G43='kuni 2025 detsember tegevuskava'!$G$110,4)</f>
        <v>1</v>
      </c>
      <c r="H77" s="177" cm="1">
        <f t="array" ref="H77">_xlfn.IFS(OR('kuni 2025 detsember tegevuskava'!P43='kuni 2025 detsember tegevuskava'!$P$107,'kuni 2025 detsember tegevuskava'!P43='kuni 2025 detsember tegevuskava'!$P$109,'kuni 2025 detsember tegevuskava'!P43='kuni 2025 detsember tegevuskava'!$P$110,'kuni 2025 detsember tegevuskava'!P43='kuni 2025 detsember tegevuskava'!$P$111),1,'kuni 2025 detsember tegevuskava'!P43='kuni 2025 detsember tegevuskava'!$P$112,2,'kuni 2025 detsember tegevuskava'!P43='kuni 2025 detsember tegevuskava'!$P$113,2,'kuni 2025 detsember tegevuskava'!P43='kuni 2025 detsember tegevuskava'!$P$108,3)</f>
        <v>2</v>
      </c>
      <c r="I77" s="125">
        <f>SUM(I78:I78)</f>
        <v>60000</v>
      </c>
      <c r="J77" s="126"/>
      <c r="K77" s="79">
        <f>SUM(K78:K78)</f>
        <v>0</v>
      </c>
      <c r="L77" s="81"/>
      <c r="M77" s="125">
        <f>SUM(M78:M78)</f>
        <v>60000</v>
      </c>
      <c r="N77" s="126"/>
      <c r="O77" s="79">
        <f>SUM(O78:O78)</f>
        <v>0</v>
      </c>
      <c r="P77" s="83"/>
    </row>
    <row r="78" spans="2:16" ht="16.5" x14ac:dyDescent="0.35">
      <c r="B78" s="1052"/>
      <c r="C78" s="1055"/>
      <c r="D78" s="1055"/>
      <c r="E78" s="1058"/>
      <c r="F78" s="1055"/>
      <c r="G78" s="983"/>
      <c r="H78" s="968"/>
      <c r="I78" s="98">
        <f>SUM(K78+M78+O78)</f>
        <v>60000</v>
      </c>
      <c r="J78" s="99" t="str">
        <f>"(15)"</f>
        <v>(15)</v>
      </c>
      <c r="K78" s="98">
        <f>'kuni 2025 detsember tegevuskava'!X43</f>
        <v>0</v>
      </c>
      <c r="L78" s="970" t="str">
        <f>"(15)"</f>
        <v>(15)</v>
      </c>
      <c r="M78" s="98">
        <f>'kuni 2025 detsember tegevuskava'!AA43</f>
        <v>60000</v>
      </c>
      <c r="N78" s="99" t="str">
        <f>"(15)"</f>
        <v>(15)</v>
      </c>
      <c r="O78" s="969">
        <f>'kuni 2025 detsember tegevuskava'!AD43</f>
        <v>0</v>
      </c>
      <c r="P78" s="85" t="str">
        <f>"(15)"</f>
        <v>(15)</v>
      </c>
    </row>
    <row r="79" spans="2:16" ht="16.5" x14ac:dyDescent="0.35">
      <c r="B79" s="1052"/>
      <c r="C79" s="1055"/>
      <c r="D79" s="1055"/>
      <c r="E79" s="1058"/>
      <c r="F79" s="1055"/>
      <c r="G79" s="983"/>
      <c r="H79" s="968"/>
      <c r="I79" s="129" t="s">
        <v>569</v>
      </c>
      <c r="J79" s="178"/>
      <c r="K79" s="178"/>
      <c r="L79" s="178"/>
      <c r="M79" s="178"/>
      <c r="N79" s="178"/>
      <c r="O79" s="178"/>
      <c r="P79" s="179"/>
    </row>
    <row r="80" spans="2:16" ht="16.5" x14ac:dyDescent="0.35">
      <c r="B80" s="1052"/>
      <c r="C80" s="1055"/>
      <c r="D80" s="1055"/>
      <c r="E80" s="1058"/>
      <c r="F80" s="1055"/>
      <c r="G80" s="983"/>
      <c r="H80" s="968"/>
      <c r="I80" s="168">
        <f>SUM(I81:I81)</f>
        <v>73200</v>
      </c>
      <c r="J80" s="99"/>
      <c r="K80" s="974">
        <f>SUM(K81:K81)</f>
        <v>0</v>
      </c>
      <c r="L80" s="976"/>
      <c r="M80" s="168">
        <f>SUM(M81:M81)</f>
        <v>73200</v>
      </c>
      <c r="N80" s="159"/>
      <c r="O80" s="168">
        <f>SUM(O81:O81)</f>
        <v>0</v>
      </c>
      <c r="P80" s="67"/>
    </row>
    <row r="81" spans="2:16" ht="17" thickBot="1" x14ac:dyDescent="0.4">
      <c r="B81" s="1053"/>
      <c r="C81" s="1056"/>
      <c r="D81" s="1056"/>
      <c r="E81" s="1059"/>
      <c r="F81" s="1056"/>
      <c r="G81" s="985"/>
      <c r="H81" s="176"/>
      <c r="I81" s="123">
        <f>SUM(K81+M81+O81)</f>
        <v>73200</v>
      </c>
      <c r="J81" s="124" t="str">
        <f>"(15)"</f>
        <v>(15)</v>
      </c>
      <c r="K81" s="91">
        <f>SUM(K78*1.2)</f>
        <v>0</v>
      </c>
      <c r="L81" s="92" t="str">
        <f>"(15)"</f>
        <v>(15)</v>
      </c>
      <c r="M81" s="123">
        <f>SUM(M78*1.22)</f>
        <v>73200</v>
      </c>
      <c r="N81" s="124" t="str">
        <f>"(15)"</f>
        <v>(15)</v>
      </c>
      <c r="O81" s="123">
        <f>SUM(O78*1.22)</f>
        <v>0</v>
      </c>
      <c r="P81" s="94" t="str">
        <f>"(15)"</f>
        <v>(15)</v>
      </c>
    </row>
    <row r="82" spans="2:16" ht="16.5" x14ac:dyDescent="0.35">
      <c r="B82" s="1051" t="str">
        <f>'kuni 2025 detsember tegevuskava'!A44&amp;"/"&amp;'kuni 2025 detsember tegevuskava'!B44</f>
        <v>MKM/</v>
      </c>
      <c r="C82" s="1054" t="str">
        <f>'kuni 2025 detsember tegevuskava'!I44</f>
        <v>Digipöörde käivitamine eeldab uusi kompetentse ja keskseid koordineerivad rolle teemades IT arhitektuur, teenused, andmed, kestlikkus, oskused, mida hetkel valitsemisalas pole</v>
      </c>
      <c r="D82" s="1054" t="str">
        <f>'kuni 2025 detsember tegevuskava'!J44</f>
        <v>Kesksete rollide loomine valitsemisalas</v>
      </c>
      <c r="E82" s="1057" t="str">
        <f>'kuni 2025 detsember tegevuskava'!K44</f>
        <v>On olemas valitsemisala teenused, arhitektuur, andmed, kestlikkus, oskused teemade vastuatajate kompetentsid.</v>
      </c>
      <c r="F82" s="1054" t="str">
        <f>'kuni 2025 detsember tegevuskava'!P44&amp;"/"</f>
        <v>SF 21-27 (taotletav raha)/</v>
      </c>
      <c r="G82" s="984" cm="1">
        <f t="array" ref="G82">_xlfn.IFS('kuni 2025 detsember tegevuskava'!G44='kuni 2025 detsember tegevuskava'!$G$107,1,'kuni 2025 detsember tegevuskava'!G44='kuni 2025 detsember tegevuskava'!$G$108,2,'kuni 2025 detsember tegevuskava'!G44='kuni 2025 detsember tegevuskava'!$G$109,3,'kuni 2025 detsember tegevuskava'!G44='kuni 2025 detsember tegevuskava'!$G$110,4)</f>
        <v>3</v>
      </c>
      <c r="H82" s="177" cm="1">
        <f t="array" ref="H82">_xlfn.IFS(OR('kuni 2025 detsember tegevuskava'!P44='kuni 2025 detsember tegevuskava'!$P$107,'kuni 2025 detsember tegevuskava'!P44='kuni 2025 detsember tegevuskava'!$P$109,'kuni 2025 detsember tegevuskava'!P44='kuni 2025 detsember tegevuskava'!$P$110,'kuni 2025 detsember tegevuskava'!P44='kuni 2025 detsember tegevuskava'!$P$111),1,'kuni 2025 detsember tegevuskava'!P44='kuni 2025 detsember tegevuskava'!$P$112,2,'kuni 2025 detsember tegevuskava'!P44='kuni 2025 detsember tegevuskava'!$P$113,2,'kuni 2025 detsember tegevuskava'!P44='kuni 2025 detsember tegevuskava'!$P$108,3)</f>
        <v>2</v>
      </c>
      <c r="I82" s="125">
        <f>SUM(I83:I84)</f>
        <v>229148</v>
      </c>
      <c r="J82" s="126"/>
      <c r="K82" s="79">
        <f>SUM(K83:K84)</f>
        <v>4148</v>
      </c>
      <c r="L82" s="81"/>
      <c r="M82" s="125">
        <f>SUM(M83:M84)</f>
        <v>90000</v>
      </c>
      <c r="N82" s="126"/>
      <c r="O82" s="79">
        <f>SUM(O83:O84)</f>
        <v>135000</v>
      </c>
      <c r="P82" s="83"/>
    </row>
    <row r="83" spans="2:16" ht="16.5" x14ac:dyDescent="0.35">
      <c r="B83" s="1052"/>
      <c r="C83" s="1055"/>
      <c r="D83" s="1055"/>
      <c r="E83" s="1058"/>
      <c r="F83" s="1055"/>
      <c r="G83" s="983"/>
      <c r="H83" s="968"/>
      <c r="I83" s="98">
        <f>SUM(K83+M83+O83)</f>
        <v>194148</v>
      </c>
      <c r="J83" s="99" t="str">
        <f>"(50)"</f>
        <v>(50)</v>
      </c>
      <c r="K83" s="969">
        <f>'kuni 2025 detsember tegevuskava'!Y44</f>
        <v>4148</v>
      </c>
      <c r="L83" s="970" t="str">
        <f>"(50)"</f>
        <v>(50)</v>
      </c>
      <c r="M83" s="98">
        <f>'kuni 2025 detsember tegevuskava'!AB44</f>
        <v>75000</v>
      </c>
      <c r="N83" s="99" t="str">
        <f>"(50)"</f>
        <v>(50)</v>
      </c>
      <c r="O83" s="969">
        <f>'kuni 2025 detsember tegevuskava'!AE44</f>
        <v>115000</v>
      </c>
      <c r="P83" s="85" t="str">
        <f>"(50)"</f>
        <v>(50)</v>
      </c>
    </row>
    <row r="84" spans="2:16" ht="16.5" x14ac:dyDescent="0.35">
      <c r="B84" s="1052"/>
      <c r="C84" s="1055"/>
      <c r="D84" s="1055"/>
      <c r="E84" s="1058"/>
      <c r="F84" s="1055"/>
      <c r="G84" s="983"/>
      <c r="H84" s="968"/>
      <c r="I84" s="98">
        <f>SUM(K84+M84+O84)</f>
        <v>35000</v>
      </c>
      <c r="J84" s="101" t="str">
        <f>"(55)"</f>
        <v>(55)</v>
      </c>
      <c r="K84" s="95">
        <f>'kuni 2025 detsember tegevuskava'!Z44</f>
        <v>0</v>
      </c>
      <c r="L84" s="86" t="str">
        <f>"(55)"</f>
        <v>(55)</v>
      </c>
      <c r="M84" s="100">
        <f>'kuni 2025 detsember tegevuskava'!AC44</f>
        <v>15000</v>
      </c>
      <c r="N84" s="101" t="str">
        <f>"(55)"</f>
        <v>(55)</v>
      </c>
      <c r="O84" s="95">
        <f>'kuni 2025 detsember tegevuskava'!AF44</f>
        <v>20000</v>
      </c>
      <c r="P84" s="88" t="str">
        <f>"(55)"</f>
        <v>(55)</v>
      </c>
    </row>
    <row r="85" spans="2:16" ht="16.5" x14ac:dyDescent="0.35">
      <c r="B85" s="1052"/>
      <c r="C85" s="1055"/>
      <c r="D85" s="1055"/>
      <c r="E85" s="1058"/>
      <c r="F85" s="1055"/>
      <c r="G85" s="983"/>
      <c r="H85" s="968"/>
      <c r="I85" s="172" t="s">
        <v>569</v>
      </c>
      <c r="J85" s="8"/>
      <c r="K85" s="8"/>
      <c r="L85" s="8"/>
      <c r="M85" s="8"/>
      <c r="N85" s="8"/>
      <c r="O85" s="8"/>
      <c r="P85" s="152"/>
    </row>
    <row r="86" spans="2:16" ht="16.5" x14ac:dyDescent="0.35">
      <c r="B86" s="1052"/>
      <c r="C86" s="1055"/>
      <c r="D86" s="1055"/>
      <c r="E86" s="1058"/>
      <c r="F86" s="1055"/>
      <c r="G86" s="983"/>
      <c r="H86" s="968"/>
      <c r="I86" s="168">
        <f>SUM(I87:I88)</f>
        <v>236848</v>
      </c>
      <c r="J86" s="97"/>
      <c r="K86" s="89">
        <f>SUM(K87:K88)</f>
        <v>4148</v>
      </c>
      <c r="L86" s="90"/>
      <c r="M86" s="96">
        <f>SUM(M87:M88)</f>
        <v>93300</v>
      </c>
      <c r="N86" s="102"/>
      <c r="O86" s="96">
        <f>SUM(O87:O88)</f>
        <v>139400</v>
      </c>
      <c r="P86" s="127"/>
    </row>
    <row r="87" spans="2:16" ht="16.5" x14ac:dyDescent="0.35">
      <c r="B87" s="1052"/>
      <c r="C87" s="1055"/>
      <c r="D87" s="1055"/>
      <c r="E87" s="1058"/>
      <c r="F87" s="1055"/>
      <c r="G87" s="983"/>
      <c r="H87" s="968"/>
      <c r="I87" s="98">
        <f>SUM(K87+M87+O87)</f>
        <v>194148</v>
      </c>
      <c r="J87" s="99" t="str">
        <f>"(50)"</f>
        <v>(50)</v>
      </c>
      <c r="K87" s="969">
        <f>K83</f>
        <v>4148</v>
      </c>
      <c r="L87" s="970" t="str">
        <f>"(50)"</f>
        <v>(50)</v>
      </c>
      <c r="M87" s="98">
        <f>M83</f>
        <v>75000</v>
      </c>
      <c r="N87" s="99" t="str">
        <f>"(50)"</f>
        <v>(50)</v>
      </c>
      <c r="O87" s="98">
        <f>O83</f>
        <v>115000</v>
      </c>
      <c r="P87" s="85" t="str">
        <f>"(50)"</f>
        <v>(50)</v>
      </c>
    </row>
    <row r="88" spans="2:16" ht="17" thickBot="1" x14ac:dyDescent="0.4">
      <c r="B88" s="1053"/>
      <c r="C88" s="1056"/>
      <c r="D88" s="1056"/>
      <c r="E88" s="1059"/>
      <c r="F88" s="1056"/>
      <c r="G88" s="985"/>
      <c r="H88" s="176"/>
      <c r="I88" s="123">
        <f>SUM(K88+M88+O88)</f>
        <v>42700</v>
      </c>
      <c r="J88" s="124" t="str">
        <f>"(55)"</f>
        <v>(55)</v>
      </c>
      <c r="K88" s="91">
        <f>SUM(K84*1.2)</f>
        <v>0</v>
      </c>
      <c r="L88" s="92" t="str">
        <f>"(55)"</f>
        <v>(55)</v>
      </c>
      <c r="M88" s="123">
        <f>SUM(M84*1.22)</f>
        <v>18300</v>
      </c>
      <c r="N88" s="124" t="str">
        <f>"(55)"</f>
        <v>(55)</v>
      </c>
      <c r="O88" s="123">
        <f>SUM(O84*1.22)</f>
        <v>24400</v>
      </c>
      <c r="P88" s="94" t="str">
        <f>"(55)"</f>
        <v>(55)</v>
      </c>
    </row>
    <row r="89" spans="2:16" ht="16.5" x14ac:dyDescent="0.35">
      <c r="B89" s="1051" t="str">
        <f>'kuni 2025 detsember tegevuskava'!A45&amp;"/"&amp;'kuni 2025 detsember tegevuskava'!B45</f>
        <v>MKM/KEMIT</v>
      </c>
      <c r="C89" s="1054" t="str">
        <f>'kuni 2025 detsember tegevuskava'!I45</f>
        <v>Teenused aeglased, kliendile ebamugavad, automatiseerimata; süsteemides esineb palju vigu</v>
      </c>
      <c r="D89" s="1054" t="str">
        <f>'kuni 2025 detsember tegevuskava'!J45</f>
        <v>Uue kasutajaliidese disaini väljatöötamine</v>
      </c>
      <c r="E89" s="1057" t="str">
        <f>'kuni 2025 detsember tegevuskava'!K45</f>
        <v>Teostatud loateenuste kasutajateekondade analüüs ja loodud uus UX  disain loateenuste kasutajateekondade jaoks</v>
      </c>
      <c r="F89" s="1054" t="str">
        <f>'kuni 2025 detsember tegevuskava'!P45&amp;"/"</f>
        <v>SF 21-27 (taotletav raha)/</v>
      </c>
      <c r="G89" s="984" cm="1">
        <f t="array" ref="G89">_xlfn.IFS('kuni 2025 detsember tegevuskava'!G45='kuni 2025 detsember tegevuskava'!$G$107,1,'kuni 2025 detsember tegevuskava'!G45='kuni 2025 detsember tegevuskava'!$G$108,2,'kuni 2025 detsember tegevuskava'!G45='kuni 2025 detsember tegevuskava'!$G$109,3,'kuni 2025 detsember tegevuskava'!G45='kuni 2025 detsember tegevuskava'!$G$110,4)</f>
        <v>1</v>
      </c>
      <c r="H89" s="177" cm="1">
        <f t="array" ref="H89">_xlfn.IFS(OR('kuni 2025 detsember tegevuskava'!P45='kuni 2025 detsember tegevuskava'!$P$107,'kuni 2025 detsember tegevuskava'!P45='kuni 2025 detsember tegevuskava'!$P$109,'kuni 2025 detsember tegevuskava'!P45='kuni 2025 detsember tegevuskava'!$P$110,'kuni 2025 detsember tegevuskava'!P45='kuni 2025 detsember tegevuskava'!$P$111),1,'kuni 2025 detsember tegevuskava'!P45='kuni 2025 detsember tegevuskava'!$P$112,2,'kuni 2025 detsember tegevuskava'!P45='kuni 2025 detsember tegevuskava'!$P$113,2,'kuni 2025 detsember tegevuskava'!P45='kuni 2025 detsember tegevuskava'!$P$108,3)</f>
        <v>2</v>
      </c>
      <c r="I89" s="125">
        <f>SUM(I90:I90)</f>
        <v>120000</v>
      </c>
      <c r="J89" s="126"/>
      <c r="K89" s="79">
        <f>SUM(K90:K90)</f>
        <v>0</v>
      </c>
      <c r="L89" s="81"/>
      <c r="M89" s="125">
        <f>SUM(M90:M90)</f>
        <v>120000</v>
      </c>
      <c r="N89" s="126"/>
      <c r="O89" s="79">
        <f>SUM(O90:O90)</f>
        <v>0</v>
      </c>
      <c r="P89" s="83"/>
    </row>
    <row r="90" spans="2:16" ht="16.5" x14ac:dyDescent="0.35">
      <c r="B90" s="1052"/>
      <c r="C90" s="1055"/>
      <c r="D90" s="1055"/>
      <c r="E90" s="1058"/>
      <c r="F90" s="1055"/>
      <c r="G90" s="983"/>
      <c r="H90" s="968"/>
      <c r="I90" s="98">
        <f>SUM(K90+M90+O90)</f>
        <v>120000</v>
      </c>
      <c r="J90" s="101" t="str">
        <f>"(55)"</f>
        <v>(55)</v>
      </c>
      <c r="K90" s="95">
        <f>'kuni 2025 detsember tegevuskava'!Z45</f>
        <v>0</v>
      </c>
      <c r="L90" s="86" t="str">
        <f>"(55)"</f>
        <v>(55)</v>
      </c>
      <c r="M90" s="100">
        <f>'kuni 2025 detsember tegevuskava'!AC45</f>
        <v>120000</v>
      </c>
      <c r="N90" s="101" t="str">
        <f>"(55)"</f>
        <v>(55)</v>
      </c>
      <c r="O90" s="95">
        <f>'kuni 2025 detsember tegevuskava'!AF45</f>
        <v>0</v>
      </c>
      <c r="P90" s="88" t="str">
        <f>"(55)"</f>
        <v>(55)</v>
      </c>
    </row>
    <row r="91" spans="2:16" ht="16.5" x14ac:dyDescent="0.35">
      <c r="B91" s="1052"/>
      <c r="C91" s="1055"/>
      <c r="D91" s="1055"/>
      <c r="E91" s="1058"/>
      <c r="F91" s="1055"/>
      <c r="G91" s="983"/>
      <c r="H91" s="968"/>
      <c r="I91" s="172" t="s">
        <v>569</v>
      </c>
      <c r="J91" s="8"/>
      <c r="K91" s="8"/>
      <c r="L91" s="8"/>
      <c r="M91" s="8"/>
      <c r="N91" s="8"/>
      <c r="O91" s="8"/>
      <c r="P91" s="152"/>
    </row>
    <row r="92" spans="2:16" ht="16.5" x14ac:dyDescent="0.35">
      <c r="B92" s="1052"/>
      <c r="C92" s="1055"/>
      <c r="D92" s="1055"/>
      <c r="E92" s="1058"/>
      <c r="F92" s="1055"/>
      <c r="G92" s="983"/>
      <c r="H92" s="968"/>
      <c r="I92" s="168">
        <f>SUM(I93:I93)</f>
        <v>146400</v>
      </c>
      <c r="J92" s="97"/>
      <c r="K92" s="89">
        <f>SUM(K93:K93)</f>
        <v>0</v>
      </c>
      <c r="L92" s="90"/>
      <c r="M92" s="96">
        <f>SUM(M93:M93)</f>
        <v>146400</v>
      </c>
      <c r="N92" s="102"/>
      <c r="O92" s="96">
        <f>SUM(O93:O93)</f>
        <v>0</v>
      </c>
      <c r="P92" s="127"/>
    </row>
    <row r="93" spans="2:16" ht="17" thickBot="1" x14ac:dyDescent="0.4">
      <c r="B93" s="1053"/>
      <c r="C93" s="1056"/>
      <c r="D93" s="1056"/>
      <c r="E93" s="1059"/>
      <c r="F93" s="1056"/>
      <c r="G93" s="985"/>
      <c r="H93" s="176"/>
      <c r="I93" s="123">
        <f>SUM(K93+M93+O93)</f>
        <v>146400</v>
      </c>
      <c r="J93" s="124" t="str">
        <f>"(55)"</f>
        <v>(55)</v>
      </c>
      <c r="K93" s="91">
        <f>SUM(K90*1.2)</f>
        <v>0</v>
      </c>
      <c r="L93" s="92" t="str">
        <f>"(55)"</f>
        <v>(55)</v>
      </c>
      <c r="M93" s="123">
        <f>SUM(M90*1.22)</f>
        <v>146400</v>
      </c>
      <c r="N93" s="124" t="str">
        <f>"(55)"</f>
        <v>(55)</v>
      </c>
      <c r="O93" s="123">
        <f>SUM(O90*1.22)</f>
        <v>0</v>
      </c>
      <c r="P93" s="94" t="str">
        <f>"(55)"</f>
        <v>(55)</v>
      </c>
    </row>
    <row r="94" spans="2:16" ht="16.5" x14ac:dyDescent="0.35">
      <c r="B94" s="1051" t="str">
        <f>'kuni 2025 detsember tegevuskava'!A46&amp;"/"&amp;'kuni 2025 detsember tegevuskava'!B46</f>
        <v>MKM/KEMIT</v>
      </c>
      <c r="C94" s="1054" t="str">
        <f>'kuni 2025 detsember tegevuskava'!I46</f>
        <v>Teenused aeglased, kliendile ebamugavad, automatiseerimata; süsteemides esineb palju vigu</v>
      </c>
      <c r="D94" s="1054" t="str">
        <f>'kuni 2025 detsember tegevuskava'!J46</f>
        <v>Loateenuste piloot ja välisinvesteeringute usaldusväärsuse hindamise rakendus</v>
      </c>
      <c r="E94" s="1057" t="str">
        <f>'kuni 2025 detsember tegevuskava'!K46</f>
        <v>Välisinvesteeringute usaldusväärsuse hindamise teenuse detailanalüüs teostatud ja loataotluse rakendus toimib kliendikeskkonna tootes koos majandustegevuse teadetega toodangukeskkonnas</v>
      </c>
      <c r="F94" s="1054" t="str">
        <f>'kuni 2025 detsember tegevuskava'!P46&amp;"/"</f>
        <v>SF 21-27 (taotletav raha)/</v>
      </c>
      <c r="G94" s="984" cm="1">
        <f t="array" ref="G94">_xlfn.IFS('kuni 2025 detsember tegevuskava'!G46='kuni 2025 detsember tegevuskava'!$G$107,1,'kuni 2025 detsember tegevuskava'!G46='kuni 2025 detsember tegevuskava'!$G$108,2,'kuni 2025 detsember tegevuskava'!G46='kuni 2025 detsember tegevuskava'!$G$109,3,'kuni 2025 detsember tegevuskava'!G46='kuni 2025 detsember tegevuskava'!$G$110,4)</f>
        <v>1</v>
      </c>
      <c r="H94" s="177" cm="1">
        <f t="array" ref="H94">_xlfn.IFS(OR('kuni 2025 detsember tegevuskava'!P46='kuni 2025 detsember tegevuskava'!$P$107,'kuni 2025 detsember tegevuskava'!P46='kuni 2025 detsember tegevuskava'!$P$109,'kuni 2025 detsember tegevuskava'!P46='kuni 2025 detsember tegevuskava'!$P$110,'kuni 2025 detsember tegevuskava'!P46='kuni 2025 detsember tegevuskava'!$P$111),1,'kuni 2025 detsember tegevuskava'!P46='kuni 2025 detsember tegevuskava'!$P$112,2,'kuni 2025 detsember tegevuskava'!P46='kuni 2025 detsember tegevuskava'!$P$113,2,'kuni 2025 detsember tegevuskava'!P46='kuni 2025 detsember tegevuskava'!$P$108,3)</f>
        <v>2</v>
      </c>
      <c r="I94" s="125">
        <f>SUM(I95:I95)</f>
        <v>280000</v>
      </c>
      <c r="J94" s="126"/>
      <c r="K94" s="79">
        <f>SUM(K95:K95)</f>
        <v>0</v>
      </c>
      <c r="L94" s="81"/>
      <c r="M94" s="125">
        <f>SUM(M95:M95)</f>
        <v>200000</v>
      </c>
      <c r="N94" s="126"/>
      <c r="O94" s="79">
        <f>SUM(O95:O95)</f>
        <v>80000</v>
      </c>
      <c r="P94" s="83"/>
    </row>
    <row r="95" spans="2:16" ht="16.5" x14ac:dyDescent="0.35">
      <c r="B95" s="1052"/>
      <c r="C95" s="1055"/>
      <c r="D95" s="1055"/>
      <c r="E95" s="1058"/>
      <c r="F95" s="1055"/>
      <c r="G95" s="983"/>
      <c r="H95" s="968"/>
      <c r="I95" s="98">
        <f>SUM(K95+M95+O95)</f>
        <v>280000</v>
      </c>
      <c r="J95" s="99" t="str">
        <f>"(15)"</f>
        <v>(15)</v>
      </c>
      <c r="K95" s="969">
        <f>'kuni 2025 detsember tegevuskava'!X46</f>
        <v>0</v>
      </c>
      <c r="L95" s="970" t="str">
        <f>"(15)"</f>
        <v>(15)</v>
      </c>
      <c r="M95" s="98">
        <f>'kuni 2025 detsember tegevuskava'!AA46</f>
        <v>200000</v>
      </c>
      <c r="N95" s="99" t="str">
        <f>"(15)"</f>
        <v>(15)</v>
      </c>
      <c r="O95" s="969">
        <f>'kuni 2025 detsember tegevuskava'!AD46</f>
        <v>80000</v>
      </c>
      <c r="P95" s="85" t="str">
        <f>"(15)"</f>
        <v>(15)</v>
      </c>
    </row>
    <row r="96" spans="2:16" ht="16.5" x14ac:dyDescent="0.35">
      <c r="B96" s="1052"/>
      <c r="C96" s="1055"/>
      <c r="D96" s="1055"/>
      <c r="E96" s="1058"/>
      <c r="F96" s="1055"/>
      <c r="G96" s="983"/>
      <c r="H96" s="968"/>
      <c r="I96" s="172" t="s">
        <v>569</v>
      </c>
      <c r="J96" s="178"/>
      <c r="K96" s="178"/>
      <c r="L96" s="178"/>
      <c r="M96" s="178"/>
      <c r="N96" s="178"/>
      <c r="O96" s="178"/>
      <c r="P96" s="179"/>
    </row>
    <row r="97" spans="2:16" ht="16.5" x14ac:dyDescent="0.35">
      <c r="B97" s="1052"/>
      <c r="C97" s="1055"/>
      <c r="D97" s="1055"/>
      <c r="E97" s="1058"/>
      <c r="F97" s="1055"/>
      <c r="G97" s="983"/>
      <c r="H97" s="968"/>
      <c r="I97" s="168">
        <f>SUM(I98:I98)</f>
        <v>341600</v>
      </c>
      <c r="J97" s="99"/>
      <c r="K97" s="974">
        <f>SUM(K98:K98)</f>
        <v>0</v>
      </c>
      <c r="L97" s="976"/>
      <c r="M97" s="168">
        <f>SUM(M98:M98)</f>
        <v>244000</v>
      </c>
      <c r="N97" s="159"/>
      <c r="O97" s="168">
        <f>SUM(O98:O98)</f>
        <v>97600</v>
      </c>
      <c r="P97" s="67"/>
    </row>
    <row r="98" spans="2:16" ht="23.15" customHeight="1" thickBot="1" x14ac:dyDescent="0.4">
      <c r="B98" s="1053"/>
      <c r="C98" s="1056"/>
      <c r="D98" s="1056"/>
      <c r="E98" s="1059"/>
      <c r="F98" s="1056"/>
      <c r="G98" s="985"/>
      <c r="H98" s="176"/>
      <c r="I98" s="123">
        <f>SUM(K98+M98+O98)</f>
        <v>341600</v>
      </c>
      <c r="J98" s="124" t="str">
        <f>"(15)"</f>
        <v>(15)</v>
      </c>
      <c r="K98" s="91">
        <f>SUM(K95*1.2)</f>
        <v>0</v>
      </c>
      <c r="L98" s="92" t="str">
        <f>"(15)"</f>
        <v>(15)</v>
      </c>
      <c r="M98" s="123">
        <f>SUM(M95*1.22)</f>
        <v>244000</v>
      </c>
      <c r="N98" s="124" t="str">
        <f>"(15)"</f>
        <v>(15)</v>
      </c>
      <c r="O98" s="123">
        <f>SUM(O95*1.22)</f>
        <v>97600</v>
      </c>
      <c r="P98" s="94" t="str">
        <f>"(15)"</f>
        <v>(15)</v>
      </c>
    </row>
    <row r="99" spans="2:16" ht="16.5" x14ac:dyDescent="0.35">
      <c r="B99" s="1051" t="str">
        <f>'kuni 2025 detsember tegevuskava'!A47&amp;"/"&amp;'kuni 2025 detsember tegevuskava'!B47</f>
        <v>MKM/TTJA</v>
      </c>
      <c r="C99" s="1054" t="str">
        <f>'kuni 2025 detsember tegevuskava'!I47</f>
        <v>Teenused aeglased, kliendile ebamugavad, automatiseerimata; süsteemides esineb palju vigu</v>
      </c>
      <c r="D99" s="1054" t="str">
        <f>'kuni 2025 detsember tegevuskava'!J47</f>
        <v>Projektijuht</v>
      </c>
      <c r="E99" s="1057" t="str">
        <f>'kuni 2025 detsember tegevuskava'!K47</f>
        <v>Digipörde teostamine toimib vastavalt aja- ja tegevusplaanile</v>
      </c>
      <c r="F99" s="1054" t="str">
        <f>'kuni 2025 detsember tegevuskava'!P47&amp;"/"</f>
        <v>SF 21-27 (taotletav raha)/</v>
      </c>
      <c r="G99" s="984" cm="1">
        <f t="array" ref="G99">_xlfn.IFS('kuni 2025 detsember tegevuskava'!G47='kuni 2025 detsember tegevuskava'!$G$107,1,'kuni 2025 detsember tegevuskava'!G47='kuni 2025 detsember tegevuskava'!$G$108,2,'kuni 2025 detsember tegevuskava'!G47='kuni 2025 detsember tegevuskava'!$G$109,3,'kuni 2025 detsember tegevuskava'!G47='kuni 2025 detsember tegevuskava'!$G$110,4)</f>
        <v>1</v>
      </c>
      <c r="H99" s="177" cm="1">
        <f t="array" ref="H99">_xlfn.IFS(OR('kuni 2025 detsember tegevuskava'!P47='kuni 2025 detsember tegevuskava'!$P$107,'kuni 2025 detsember tegevuskava'!P47='kuni 2025 detsember tegevuskava'!$P$109,'kuni 2025 detsember tegevuskava'!P47='kuni 2025 detsember tegevuskava'!$P$110,'kuni 2025 detsember tegevuskava'!P47='kuni 2025 detsember tegevuskava'!$P$111),1,'kuni 2025 detsember tegevuskava'!P47='kuni 2025 detsember tegevuskava'!$P$112,2,'kuni 2025 detsember tegevuskava'!P47='kuni 2025 detsember tegevuskava'!$P$113,2,'kuni 2025 detsember tegevuskava'!P47='kuni 2025 detsember tegevuskava'!$P$108,3)</f>
        <v>2</v>
      </c>
      <c r="I99" s="125">
        <f>SUM(I100:I100)</f>
        <v>110000</v>
      </c>
      <c r="J99" s="126"/>
      <c r="K99" s="79">
        <f>SUM(K100:K100)</f>
        <v>0</v>
      </c>
      <c r="L99" s="81"/>
      <c r="M99" s="125">
        <f>SUM(M100:M100)</f>
        <v>55000</v>
      </c>
      <c r="N99" s="126"/>
      <c r="O99" s="79">
        <f>SUM(O100:O100)</f>
        <v>55000</v>
      </c>
      <c r="P99" s="83"/>
    </row>
    <row r="100" spans="2:16" ht="16.5" x14ac:dyDescent="0.35">
      <c r="B100" s="1052"/>
      <c r="C100" s="1055"/>
      <c r="D100" s="1055"/>
      <c r="E100" s="1058"/>
      <c r="F100" s="1055"/>
      <c r="G100" s="983"/>
      <c r="H100" s="968"/>
      <c r="I100" s="98">
        <f>SUM(K100+M100+O100)</f>
        <v>110000</v>
      </c>
      <c r="J100" s="99" t="str">
        <f>"(50)"</f>
        <v>(50)</v>
      </c>
      <c r="K100" s="969">
        <f>'kuni 2025 detsember tegevuskava'!Y47</f>
        <v>0</v>
      </c>
      <c r="L100" s="970" t="str">
        <f>"(50)"</f>
        <v>(50)</v>
      </c>
      <c r="M100" s="98">
        <f>'kuni 2025 detsember tegevuskava'!AB47</f>
        <v>55000</v>
      </c>
      <c r="N100" s="99" t="str">
        <f>"(50)"</f>
        <v>(50)</v>
      </c>
      <c r="O100" s="969">
        <f>'kuni 2025 detsember tegevuskava'!AE47</f>
        <v>55000</v>
      </c>
      <c r="P100" s="85" t="str">
        <f>"(50)"</f>
        <v>(50)</v>
      </c>
    </row>
    <row r="101" spans="2:16" ht="16.5" x14ac:dyDescent="0.35">
      <c r="B101" s="1052"/>
      <c r="C101" s="1055"/>
      <c r="D101" s="1055"/>
      <c r="E101" s="1058"/>
      <c r="F101" s="1055"/>
      <c r="G101" s="983"/>
      <c r="H101" s="968"/>
      <c r="I101" s="172" t="s">
        <v>569</v>
      </c>
      <c r="J101" s="178"/>
      <c r="K101" s="178"/>
      <c r="L101" s="178"/>
      <c r="M101" s="178"/>
      <c r="N101" s="178"/>
      <c r="O101" s="178"/>
      <c r="P101" s="179"/>
    </row>
    <row r="102" spans="2:16" ht="16.5" x14ac:dyDescent="0.35">
      <c r="B102" s="1052"/>
      <c r="C102" s="1055"/>
      <c r="D102" s="1055"/>
      <c r="E102" s="1058"/>
      <c r="F102" s="1055"/>
      <c r="G102" s="983"/>
      <c r="H102" s="968"/>
      <c r="I102" s="168">
        <f>SUM(I103:I103)</f>
        <v>110000</v>
      </c>
      <c r="J102" s="99"/>
      <c r="K102" s="974">
        <f>SUM(K103:K103)</f>
        <v>0</v>
      </c>
      <c r="L102" s="976"/>
      <c r="M102" s="168">
        <f>SUM(M103:M103)</f>
        <v>55000</v>
      </c>
      <c r="N102" s="159"/>
      <c r="O102" s="168">
        <f>SUM(O103:O103)</f>
        <v>55000</v>
      </c>
      <c r="P102" s="67"/>
    </row>
    <row r="103" spans="2:16" ht="17" thickBot="1" x14ac:dyDescent="0.4">
      <c r="B103" s="1053"/>
      <c r="C103" s="1056"/>
      <c r="D103" s="1056"/>
      <c r="E103" s="1059"/>
      <c r="F103" s="1056"/>
      <c r="G103" s="985"/>
      <c r="H103" s="176"/>
      <c r="I103" s="123">
        <f>SUM(K103+M103+O103)</f>
        <v>110000</v>
      </c>
      <c r="J103" s="124" t="str">
        <f>"(50)"</f>
        <v>(50)</v>
      </c>
      <c r="K103" s="91">
        <f>K100</f>
        <v>0</v>
      </c>
      <c r="L103" s="92" t="str">
        <f>"(50)"</f>
        <v>(50)</v>
      </c>
      <c r="M103" s="123">
        <f>M100</f>
        <v>55000</v>
      </c>
      <c r="N103" s="124" t="str">
        <f>"(50)"</f>
        <v>(50)</v>
      </c>
      <c r="O103" s="123">
        <f>O100</f>
        <v>55000</v>
      </c>
      <c r="P103" s="94" t="str">
        <f>"(50)"</f>
        <v>(50)</v>
      </c>
    </row>
    <row r="104" spans="2:16" ht="16.5" x14ac:dyDescent="0.35">
      <c r="B104" s="1051" t="str">
        <f>'kuni 2025 detsember tegevuskava'!A48&amp;"/"&amp;'kuni 2025 detsember tegevuskava'!B48</f>
        <v>MKM/KEMIT</v>
      </c>
      <c r="C104" s="1054" t="str">
        <f>'kuni 2025 detsember tegevuskava'!I48</f>
        <v>Teenused aeglased, kliendile ebamugavad, automatiseerimata; süsteemides esineb palju vigu</v>
      </c>
      <c r="D104" s="1054" t="str">
        <f>'kuni 2025 detsember tegevuskava'!J48</f>
        <v>e-teenuste tehnoloogilise platvormi baaskulu</v>
      </c>
      <c r="E104" s="1057" t="str">
        <f>'kuni 2025 detsember tegevuskava'!K48</f>
        <v>Tehnoloogiline taristu ja teenused on hallatud</v>
      </c>
      <c r="F104" s="1054" t="str">
        <f>'kuni 2025 detsember tegevuskava'!P48&amp;"/"</f>
        <v>SF 21-27 (taotletav raha)/</v>
      </c>
      <c r="G104" s="984" cm="1">
        <f t="array" ref="G104">_xlfn.IFS('kuni 2025 detsember tegevuskava'!G48='kuni 2025 detsember tegevuskava'!$G$107,1,'kuni 2025 detsember tegevuskava'!G48='kuni 2025 detsember tegevuskava'!$G$108,2,'kuni 2025 detsember tegevuskava'!G48='kuni 2025 detsember tegevuskava'!$G$109,3,'kuni 2025 detsember tegevuskava'!G48='kuni 2025 detsember tegevuskava'!$G$110,4)</f>
        <v>4</v>
      </c>
      <c r="H104" s="177" cm="1">
        <f t="array" ref="H104">_xlfn.IFS(OR('kuni 2025 detsember tegevuskava'!P48='kuni 2025 detsember tegevuskava'!$P$107,'kuni 2025 detsember tegevuskava'!P48='kuni 2025 detsember tegevuskava'!$P$109,'kuni 2025 detsember tegevuskava'!P48='kuni 2025 detsember tegevuskava'!$P$110,'kuni 2025 detsember tegevuskava'!P48='kuni 2025 detsember tegevuskava'!$P$111),1,'kuni 2025 detsember tegevuskava'!P48='kuni 2025 detsember tegevuskava'!$P$112,2,'kuni 2025 detsember tegevuskava'!P48='kuni 2025 detsember tegevuskava'!$P$113,2,'kuni 2025 detsember tegevuskava'!P48='kuni 2025 detsember tegevuskava'!$P$108,3)</f>
        <v>2</v>
      </c>
      <c r="I104" s="125">
        <f>SUM(I105:I105)</f>
        <v>150000</v>
      </c>
      <c r="J104" s="126"/>
      <c r="K104" s="79">
        <f>SUM(K105:K105)</f>
        <v>0</v>
      </c>
      <c r="L104" s="81"/>
      <c r="M104" s="125">
        <f>SUM(M105:M105)</f>
        <v>150000</v>
      </c>
      <c r="N104" s="126"/>
      <c r="O104" s="79">
        <f>SUM(O105:O105)</f>
        <v>0</v>
      </c>
      <c r="P104" s="83"/>
    </row>
    <row r="105" spans="2:16" ht="16.5" x14ac:dyDescent="0.35">
      <c r="B105" s="1052"/>
      <c r="C105" s="1055"/>
      <c r="D105" s="1055"/>
      <c r="E105" s="1058"/>
      <c r="F105" s="1055"/>
      <c r="G105" s="983"/>
      <c r="H105" s="968"/>
      <c r="I105" s="98">
        <f>SUM(K105+M105+O105)</f>
        <v>150000</v>
      </c>
      <c r="J105" s="99" t="str">
        <f>"(15)"</f>
        <v>(15)</v>
      </c>
      <c r="K105" s="969">
        <f>'kuni 2025 detsember tegevuskava'!X48</f>
        <v>0</v>
      </c>
      <c r="L105" s="970" t="str">
        <f>"(15)"</f>
        <v>(15)</v>
      </c>
      <c r="M105" s="98">
        <f>'kuni 2025 detsember tegevuskava'!AA48</f>
        <v>150000</v>
      </c>
      <c r="N105" s="99" t="str">
        <f>"(15)"</f>
        <v>(15)</v>
      </c>
      <c r="O105" s="969">
        <f>'kuni 2025 detsember tegevuskava'!AD48</f>
        <v>0</v>
      </c>
      <c r="P105" s="85" t="str">
        <f>"(15)"</f>
        <v>(15)</v>
      </c>
    </row>
    <row r="106" spans="2:16" ht="16.5" x14ac:dyDescent="0.35">
      <c r="B106" s="1052"/>
      <c r="C106" s="1055"/>
      <c r="D106" s="1055"/>
      <c r="E106" s="1058"/>
      <c r="F106" s="1055"/>
      <c r="G106" s="983"/>
      <c r="H106" s="968"/>
      <c r="I106" s="172" t="s">
        <v>569</v>
      </c>
      <c r="J106" s="178"/>
      <c r="K106" s="178"/>
      <c r="L106" s="178"/>
      <c r="M106" s="178"/>
      <c r="N106" s="178"/>
      <c r="O106" s="178"/>
      <c r="P106" s="179"/>
    </row>
    <row r="107" spans="2:16" ht="16.5" x14ac:dyDescent="0.35">
      <c r="B107" s="1052"/>
      <c r="C107" s="1055"/>
      <c r="D107" s="1055"/>
      <c r="E107" s="1058"/>
      <c r="F107" s="1055"/>
      <c r="G107" s="983"/>
      <c r="H107" s="968"/>
      <c r="I107" s="168">
        <f>SUM(I108:I108)</f>
        <v>183000</v>
      </c>
      <c r="J107" s="99"/>
      <c r="K107" s="974">
        <f>SUM(K108:K108)</f>
        <v>0</v>
      </c>
      <c r="L107" s="976"/>
      <c r="M107" s="168">
        <f>SUM(M108:M108)</f>
        <v>183000</v>
      </c>
      <c r="N107" s="159"/>
      <c r="O107" s="168">
        <f>SUM(O108:O108)</f>
        <v>0</v>
      </c>
      <c r="P107" s="67"/>
    </row>
    <row r="108" spans="2:16" ht="17" thickBot="1" x14ac:dyDescent="0.4">
      <c r="B108" s="1053"/>
      <c r="C108" s="1056"/>
      <c r="D108" s="1056"/>
      <c r="E108" s="1059"/>
      <c r="F108" s="1056"/>
      <c r="G108" s="985"/>
      <c r="H108" s="176"/>
      <c r="I108" s="123">
        <f>SUM(K108+M108+O108)</f>
        <v>183000</v>
      </c>
      <c r="J108" s="124" t="str">
        <f>"(15)"</f>
        <v>(15)</v>
      </c>
      <c r="K108" s="91">
        <f>SUM(K105*1.2)</f>
        <v>0</v>
      </c>
      <c r="L108" s="92" t="str">
        <f>"(15)"</f>
        <v>(15)</v>
      </c>
      <c r="M108" s="123">
        <f>SUM(M105*1.22)</f>
        <v>183000</v>
      </c>
      <c r="N108" s="124" t="str">
        <f>"(15)"</f>
        <v>(15)</v>
      </c>
      <c r="O108" s="123">
        <f>SUM(O105*1.22)</f>
        <v>0</v>
      </c>
      <c r="P108" s="94" t="str">
        <f>"(15)"</f>
        <v>(15)</v>
      </c>
    </row>
    <row r="109" spans="2:16" ht="16.5" x14ac:dyDescent="0.35">
      <c r="B109" s="1051" t="str">
        <f>'kuni 2025 detsember tegevuskava'!A49&amp;"/"&amp;'kuni 2025 detsember tegevuskava'!B49</f>
        <v>MKM/TTJA</v>
      </c>
      <c r="C109" s="1054" t="str">
        <f>'kuni 2025 detsember tegevuskava'!I49</f>
        <v>Teenused aeglased, kliendile ebamugavad, automatiseerimata; süsteemides esineb palju vigu</v>
      </c>
      <c r="D109" s="1054" t="str">
        <f>'kuni 2025 detsember tegevuskava'!J49</f>
        <v>Rakendusadministraator protsessijuhtimise tarkvara jaoks</v>
      </c>
      <c r="E109" s="1057" t="str">
        <f>'kuni 2025 detsember tegevuskava'!K49</f>
        <v>Protsessijuhtimise tarkvara on testitud, toimib jätkusuutlikult e-teenuste platvormil</v>
      </c>
      <c r="F109" s="1054" t="str">
        <f>'kuni 2025 detsember tegevuskava'!P49&amp;"/"</f>
        <v>SF 21-27 (taotletav raha)/</v>
      </c>
      <c r="G109" s="984" cm="1">
        <f t="array" ref="G109">_xlfn.IFS('kuni 2025 detsember tegevuskava'!G49='kuni 2025 detsember tegevuskava'!$G$107,1,'kuni 2025 detsember tegevuskava'!G49='kuni 2025 detsember tegevuskava'!$G$108,2,'kuni 2025 detsember tegevuskava'!G49='kuni 2025 detsember tegevuskava'!$G$109,3,'kuni 2025 detsember tegevuskava'!G49='kuni 2025 detsember tegevuskava'!$G$110,4)</f>
        <v>1</v>
      </c>
      <c r="H109" s="177" cm="1">
        <f t="array" ref="H109">_xlfn.IFS(OR('kuni 2025 detsember tegevuskava'!P49='kuni 2025 detsember tegevuskava'!$P$107,'kuni 2025 detsember tegevuskava'!P49='kuni 2025 detsember tegevuskava'!$P$109,'kuni 2025 detsember tegevuskava'!P49='kuni 2025 detsember tegevuskava'!$P$110,'kuni 2025 detsember tegevuskava'!P49='kuni 2025 detsember tegevuskava'!$P$111),1,'kuni 2025 detsember tegevuskava'!P49='kuni 2025 detsember tegevuskava'!$P$112,2,'kuni 2025 detsember tegevuskava'!P49='kuni 2025 detsember tegevuskava'!$P$113,2,'kuni 2025 detsember tegevuskava'!P49='kuni 2025 detsember tegevuskava'!$P$108,3)</f>
        <v>2</v>
      </c>
      <c r="I109" s="125">
        <f>SUM(I110:I111)</f>
        <v>122000</v>
      </c>
      <c r="J109" s="126"/>
      <c r="K109" s="79">
        <f>SUM(K110:K111)</f>
        <v>0</v>
      </c>
      <c r="L109" s="81"/>
      <c r="M109" s="125">
        <f>SUM(M110:M111)</f>
        <v>56000</v>
      </c>
      <c r="N109" s="126"/>
      <c r="O109" s="79">
        <f>SUM(O110:O111)</f>
        <v>66000</v>
      </c>
      <c r="P109" s="83"/>
    </row>
    <row r="110" spans="2:16" ht="16.5" x14ac:dyDescent="0.35">
      <c r="B110" s="1052"/>
      <c r="C110" s="1055"/>
      <c r="D110" s="1055"/>
      <c r="E110" s="1058"/>
      <c r="F110" s="1055"/>
      <c r="G110" s="983"/>
      <c r="H110" s="968"/>
      <c r="I110" s="98">
        <f>SUM(K110+M110+O110)</f>
        <v>112000</v>
      </c>
      <c r="J110" s="99" t="str">
        <f>"(50)"</f>
        <v>(50)</v>
      </c>
      <c r="K110" s="969">
        <f>'kuni 2025 detsember tegevuskava'!Y49</f>
        <v>0</v>
      </c>
      <c r="L110" s="970" t="str">
        <f>"(50)"</f>
        <v>(50)</v>
      </c>
      <c r="M110" s="98">
        <f>'kuni 2025 detsember tegevuskava'!AB49</f>
        <v>56000</v>
      </c>
      <c r="N110" s="99" t="str">
        <f>"(50)"</f>
        <v>(50)</v>
      </c>
      <c r="O110" s="969">
        <f>'kuni 2025 detsember tegevuskava'!AE49</f>
        <v>56000</v>
      </c>
      <c r="P110" s="85" t="str">
        <f>"(50)"</f>
        <v>(50)</v>
      </c>
    </row>
    <row r="111" spans="2:16" ht="16.5" x14ac:dyDescent="0.35">
      <c r="B111" s="1052"/>
      <c r="C111" s="1055"/>
      <c r="D111" s="1055"/>
      <c r="E111" s="1058"/>
      <c r="F111" s="1055"/>
      <c r="G111" s="983"/>
      <c r="H111" s="968"/>
      <c r="I111" s="98">
        <f>SUM(K111+M111+O111)</f>
        <v>10000</v>
      </c>
      <c r="J111" s="101" t="str">
        <f>"(55)"</f>
        <v>(55)</v>
      </c>
      <c r="K111" s="95">
        <f>'kuni 2025 detsember tegevuskava'!Z49</f>
        <v>0</v>
      </c>
      <c r="L111" s="86" t="str">
        <f>"(55)"</f>
        <v>(55)</v>
      </c>
      <c r="M111" s="100">
        <f>'kuni 2025 detsember tegevuskava'!AC48</f>
        <v>0</v>
      </c>
      <c r="N111" s="101" t="str">
        <f>"(55)"</f>
        <v>(55)</v>
      </c>
      <c r="O111" s="95">
        <f>'kuni 2025 detsember tegevuskava'!AF49</f>
        <v>10000</v>
      </c>
      <c r="P111" s="88" t="str">
        <f>"(55)"</f>
        <v>(55)</v>
      </c>
    </row>
    <row r="112" spans="2:16" ht="16.5" x14ac:dyDescent="0.35">
      <c r="B112" s="1052"/>
      <c r="C112" s="1055"/>
      <c r="D112" s="1055"/>
      <c r="E112" s="1058"/>
      <c r="F112" s="1055"/>
      <c r="G112" s="983"/>
      <c r="H112" s="968"/>
      <c r="I112" s="172" t="s">
        <v>569</v>
      </c>
      <c r="J112" s="8"/>
      <c r="K112" s="8"/>
      <c r="L112" s="8"/>
      <c r="M112" s="8"/>
      <c r="N112" s="8"/>
      <c r="O112" s="8"/>
      <c r="P112" s="152"/>
    </row>
    <row r="113" spans="2:16" ht="16.5" x14ac:dyDescent="0.35">
      <c r="B113" s="1052"/>
      <c r="C113" s="1055"/>
      <c r="D113" s="1055"/>
      <c r="E113" s="1058"/>
      <c r="F113" s="1055"/>
      <c r="G113" s="983"/>
      <c r="H113" s="968"/>
      <c r="I113" s="168">
        <f>SUM(I114:I115)</f>
        <v>124200</v>
      </c>
      <c r="J113" s="97"/>
      <c r="K113" s="89">
        <f>SUM(K114:K115)</f>
        <v>0</v>
      </c>
      <c r="L113" s="90"/>
      <c r="M113" s="96">
        <f>SUM(M114:M115)</f>
        <v>56000</v>
      </c>
      <c r="N113" s="102"/>
      <c r="O113" s="96">
        <f>SUM(O114:O115)</f>
        <v>68200</v>
      </c>
      <c r="P113" s="127"/>
    </row>
    <row r="114" spans="2:16" ht="16.5" x14ac:dyDescent="0.35">
      <c r="B114" s="1052"/>
      <c r="C114" s="1055"/>
      <c r="D114" s="1055"/>
      <c r="E114" s="1058"/>
      <c r="F114" s="1055"/>
      <c r="G114" s="983"/>
      <c r="H114" s="968"/>
      <c r="I114" s="98">
        <f>SUM(K114+M114+O114)</f>
        <v>112000</v>
      </c>
      <c r="J114" s="99" t="str">
        <f>"(50)"</f>
        <v>(50)</v>
      </c>
      <c r="K114" s="969">
        <f>K110</f>
        <v>0</v>
      </c>
      <c r="L114" s="970" t="str">
        <f>"(50)"</f>
        <v>(50)</v>
      </c>
      <c r="M114" s="98">
        <f>M110</f>
        <v>56000</v>
      </c>
      <c r="N114" s="99" t="str">
        <f>"(50)"</f>
        <v>(50)</v>
      </c>
      <c r="O114" s="98">
        <f>O110</f>
        <v>56000</v>
      </c>
      <c r="P114" s="85" t="str">
        <f>"(50)"</f>
        <v>(50)</v>
      </c>
    </row>
    <row r="115" spans="2:16" ht="17" thickBot="1" x14ac:dyDescent="0.4">
      <c r="B115" s="1053"/>
      <c r="C115" s="1056"/>
      <c r="D115" s="1056"/>
      <c r="E115" s="1059"/>
      <c r="F115" s="1056"/>
      <c r="G115" s="985"/>
      <c r="H115" s="176"/>
      <c r="I115" s="123">
        <f>SUM(K115+M115+O115)</f>
        <v>12200</v>
      </c>
      <c r="J115" s="124" t="str">
        <f>"(55)"</f>
        <v>(55)</v>
      </c>
      <c r="K115" s="91">
        <f>SUM(K111*1.2)</f>
        <v>0</v>
      </c>
      <c r="L115" s="92" t="str">
        <f>"(55)"</f>
        <v>(55)</v>
      </c>
      <c r="M115" s="123">
        <f>SUM(M111*1.22)</f>
        <v>0</v>
      </c>
      <c r="N115" s="124" t="str">
        <f>"(55)"</f>
        <v>(55)</v>
      </c>
      <c r="O115" s="123">
        <f>SUM(O111*1.22)</f>
        <v>12200</v>
      </c>
      <c r="P115" s="94" t="str">
        <f>"(55)"</f>
        <v>(55)</v>
      </c>
    </row>
    <row r="116" spans="2:16" ht="16.5" x14ac:dyDescent="0.35">
      <c r="B116" s="1051" t="str">
        <f>'kuni 2025 detsember tegevuskava'!A50&amp;"/"&amp;'kuni 2025 detsember tegevuskava'!B50</f>
        <v>MKM/KEMIT</v>
      </c>
      <c r="C116" s="1054" t="str">
        <f>'kuni 2025 detsember tegevuskava'!I50</f>
        <v>Teenused aeglased, kliendile ebamugavad, automatiseerimata; süsteemides esineb palju vigu</v>
      </c>
      <c r="D116" s="1054" t="str">
        <f>'kuni 2025 detsember tegevuskava'!J50</f>
        <v>Protsessijuhtimise tarkvara haldus (litsentsid, serverid jm) 50 TEUR/aastas</v>
      </c>
      <c r="E116" s="1057" t="str">
        <f>'kuni 2025 detsember tegevuskava'!K50</f>
        <v>Vajalik taristu on olemas protsessitarkvara kasutamiseks</v>
      </c>
      <c r="F116" s="1054" t="str">
        <f>'kuni 2025 detsember tegevuskava'!P50&amp;"/"</f>
        <v>SF 21-27 (taotletav raha)/</v>
      </c>
      <c r="G116" s="984" cm="1">
        <f t="array" ref="G116">_xlfn.IFS('kuni 2025 detsember tegevuskava'!G50='kuni 2025 detsember tegevuskava'!$G$107,1,'kuni 2025 detsember tegevuskava'!G50='kuni 2025 detsember tegevuskava'!$G$108,2,'kuni 2025 detsember tegevuskava'!G50='kuni 2025 detsember tegevuskava'!$G$109,3,'kuni 2025 detsember tegevuskava'!G50='kuni 2025 detsember tegevuskava'!$G$110,4)</f>
        <v>4</v>
      </c>
      <c r="H116" s="177" cm="1">
        <f t="array" ref="H116">_xlfn.IFS(OR('kuni 2025 detsember tegevuskava'!P50='kuni 2025 detsember tegevuskava'!$P$107,'kuni 2025 detsember tegevuskava'!P50='kuni 2025 detsember tegevuskava'!$P$109,'kuni 2025 detsember tegevuskava'!P50='kuni 2025 detsember tegevuskava'!$P$110,'kuni 2025 detsember tegevuskava'!P50='kuni 2025 detsember tegevuskava'!$P$111),1,'kuni 2025 detsember tegevuskava'!P50='kuni 2025 detsember tegevuskava'!$P$112,2,'kuni 2025 detsember tegevuskava'!P50='kuni 2025 detsember tegevuskava'!$P$113,2,'kuni 2025 detsember tegevuskava'!P50='kuni 2025 detsember tegevuskava'!$P$108,3)</f>
        <v>2</v>
      </c>
      <c r="I116" s="125">
        <f>SUM(I117:I117)</f>
        <v>50000</v>
      </c>
      <c r="J116" s="126"/>
      <c r="K116" s="79">
        <f>SUM(K117:K117)</f>
        <v>0</v>
      </c>
      <c r="L116" s="81"/>
      <c r="M116" s="125">
        <f>SUM(M117:M117)</f>
        <v>50000</v>
      </c>
      <c r="N116" s="126"/>
      <c r="O116" s="79">
        <f>SUM(O117:O117)</f>
        <v>0</v>
      </c>
      <c r="P116" s="83"/>
    </row>
    <row r="117" spans="2:16" ht="16.5" x14ac:dyDescent="0.35">
      <c r="B117" s="1052"/>
      <c r="C117" s="1055"/>
      <c r="D117" s="1055"/>
      <c r="E117" s="1058"/>
      <c r="F117" s="1055"/>
      <c r="G117" s="983"/>
      <c r="H117" s="968"/>
      <c r="I117" s="98">
        <f>SUM(K117+M117+O117)</f>
        <v>50000</v>
      </c>
      <c r="J117" s="101" t="str">
        <f>"(55)"</f>
        <v>(55)</v>
      </c>
      <c r="K117" s="95">
        <f>'kuni 2025 detsember tegevuskava'!Z50</f>
        <v>0</v>
      </c>
      <c r="L117" s="86" t="str">
        <f>"(55)"</f>
        <v>(55)</v>
      </c>
      <c r="M117" s="100">
        <f>'kuni 2025 detsember tegevuskava'!AC50</f>
        <v>50000</v>
      </c>
      <c r="N117" s="101" t="str">
        <f>"(55)"</f>
        <v>(55)</v>
      </c>
      <c r="O117" s="95">
        <f>'kuni 2025 detsember tegevuskava'!AF50</f>
        <v>0</v>
      </c>
      <c r="P117" s="88" t="str">
        <f>"(55)"</f>
        <v>(55)</v>
      </c>
    </row>
    <row r="118" spans="2:16" ht="16.5" x14ac:dyDescent="0.35">
      <c r="B118" s="1052"/>
      <c r="C118" s="1055"/>
      <c r="D118" s="1055"/>
      <c r="E118" s="1058"/>
      <c r="F118" s="1055"/>
      <c r="G118" s="983"/>
      <c r="H118" s="968"/>
      <c r="I118" s="172" t="s">
        <v>569</v>
      </c>
      <c r="J118" s="8"/>
      <c r="K118" s="8"/>
      <c r="L118" s="8"/>
      <c r="M118" s="8"/>
      <c r="N118" s="8"/>
      <c r="O118" s="8"/>
      <c r="P118" s="152"/>
    </row>
    <row r="119" spans="2:16" ht="16.5" x14ac:dyDescent="0.35">
      <c r="B119" s="1052"/>
      <c r="C119" s="1055"/>
      <c r="D119" s="1055"/>
      <c r="E119" s="1058"/>
      <c r="F119" s="1055"/>
      <c r="G119" s="983"/>
      <c r="H119" s="968"/>
      <c r="I119" s="168">
        <f>SUM(I120:I120)</f>
        <v>61000</v>
      </c>
      <c r="J119" s="97"/>
      <c r="K119" s="89">
        <f>SUM(K120:K120)</f>
        <v>0</v>
      </c>
      <c r="L119" s="90"/>
      <c r="M119" s="96">
        <f>SUM(M120:M120)</f>
        <v>61000</v>
      </c>
      <c r="N119" s="102"/>
      <c r="O119" s="96">
        <f>SUM(O120:O120)</f>
        <v>0</v>
      </c>
      <c r="P119" s="127"/>
    </row>
    <row r="120" spans="2:16" ht="17" thickBot="1" x14ac:dyDescent="0.4">
      <c r="B120" s="1053"/>
      <c r="C120" s="1056"/>
      <c r="D120" s="1056"/>
      <c r="E120" s="1059"/>
      <c r="F120" s="1056"/>
      <c r="G120" s="985"/>
      <c r="H120" s="176"/>
      <c r="I120" s="123">
        <f>SUM(K120+M120+O120)</f>
        <v>61000</v>
      </c>
      <c r="J120" s="124" t="str">
        <f>"(55)"</f>
        <v>(55)</v>
      </c>
      <c r="K120" s="91">
        <f>SUM(K117*1.2)</f>
        <v>0</v>
      </c>
      <c r="L120" s="92" t="str">
        <f>"(55)"</f>
        <v>(55)</v>
      </c>
      <c r="M120" s="123">
        <f>SUM(M117*1.22)</f>
        <v>61000</v>
      </c>
      <c r="N120" s="124" t="str">
        <f>"(55)"</f>
        <v>(55)</v>
      </c>
      <c r="O120" s="123">
        <f>SUM(O117*1.22)</f>
        <v>0</v>
      </c>
      <c r="P120" s="94" t="str">
        <f>"(55)"</f>
        <v>(55)</v>
      </c>
    </row>
    <row r="121" spans="2:16" ht="16.5" x14ac:dyDescent="0.35">
      <c r="B121" s="1052" t="str">
        <f>'kuni 2025 detsember tegevuskava'!A51&amp;"/"&amp;'kuni 2025 detsember tegevuskava'!B51</f>
        <v>MKM/RIKS</v>
      </c>
      <c r="C121" s="1055" t="str">
        <f>'kuni 2025 detsember tegevuskava'!I51</f>
        <v>Kvantarvutikindlate võrguarhitektuuride teadmiste säilitamine, rahvusvaheline koostöö.</v>
      </c>
      <c r="D121" s="1055" t="str">
        <f>'kuni 2025 detsember tegevuskava'!J51</f>
        <v>EuroQCI - Euroopa kvantvõrkude meede Eesti omaosalus.</v>
      </c>
      <c r="E121" s="1058" t="str">
        <f>'kuni 2025 detsember tegevuskava'!K51</f>
        <v>Kvantvõtmevahetus Soomega. Partnerlus Läti ja Rootsiga ning teiste EU27 riikidega.</v>
      </c>
      <c r="F121" s="1055" t="str">
        <f>'kuni 2025 detsember tegevuskava'!P51&amp;"/"</f>
        <v>RES IKT (vaja juurde taotleda)/</v>
      </c>
      <c r="G121" s="983" cm="1">
        <f t="array" ref="G121">_xlfn.IFS('kuni 2025 detsember tegevuskava'!G51='kuni 2025 detsember tegevuskava'!$G$107,1,'kuni 2025 detsember tegevuskava'!G51='kuni 2025 detsember tegevuskava'!$G$108,2,'kuni 2025 detsember tegevuskava'!G51='kuni 2025 detsember tegevuskava'!$G$109,3,'kuni 2025 detsember tegevuskava'!G51='kuni 2025 detsember tegevuskava'!$G$110,4)</f>
        <v>1</v>
      </c>
      <c r="H121" s="968" cm="1">
        <f t="array" ref="H121">_xlfn.IFS(OR('kuni 2025 detsember tegevuskava'!P51='kuni 2025 detsember tegevuskava'!$P$107,'kuni 2025 detsember tegevuskava'!P51='kuni 2025 detsember tegevuskava'!$P$109,'kuni 2025 detsember tegevuskava'!P51='kuni 2025 detsember tegevuskava'!$P$110,'kuni 2025 detsember tegevuskava'!P51='kuni 2025 detsember tegevuskava'!$P$111),1,'kuni 2025 detsember tegevuskava'!P51='kuni 2025 detsember tegevuskava'!$P$112,2,'kuni 2025 detsember tegevuskava'!P51='kuni 2025 detsember tegevuskava'!$P$113,2,'kuni 2025 detsember tegevuskava'!P51='kuni 2025 detsember tegevuskava'!$P$108,3)</f>
        <v>1</v>
      </c>
      <c r="I121" s="168">
        <f>SUM(I122:I123)</f>
        <v>210000</v>
      </c>
      <c r="J121" s="99"/>
      <c r="K121" s="974">
        <f>SUM(K122:K123)</f>
        <v>0</v>
      </c>
      <c r="L121" s="976"/>
      <c r="M121" s="168">
        <f>SUM(M122:M123)</f>
        <v>0</v>
      </c>
      <c r="N121" s="99"/>
      <c r="O121" s="974">
        <f>SUM(O122:O123)</f>
        <v>210000</v>
      </c>
      <c r="P121" s="85"/>
    </row>
    <row r="122" spans="2:16" ht="16.5" x14ac:dyDescent="0.35">
      <c r="B122" s="1052"/>
      <c r="C122" s="1055"/>
      <c r="D122" s="1055"/>
      <c r="E122" s="1058"/>
      <c r="F122" s="1055"/>
      <c r="G122" s="983"/>
      <c r="H122" s="968"/>
      <c r="I122" s="98">
        <f>SUM(K122+M122+O122)</f>
        <v>189000</v>
      </c>
      <c r="J122" s="99" t="str">
        <f>"(50)"</f>
        <v>(50)</v>
      </c>
      <c r="K122" s="969">
        <f>'kuni 2025 detsember tegevuskava'!Y51</f>
        <v>0</v>
      </c>
      <c r="L122" s="970" t="str">
        <f>"(50)"</f>
        <v>(50)</v>
      </c>
      <c r="M122" s="98">
        <f>'kuni 2025 detsember tegevuskava'!AB51</f>
        <v>0</v>
      </c>
      <c r="N122" s="99" t="str">
        <f>"(50)"</f>
        <v>(50)</v>
      </c>
      <c r="O122" s="969">
        <f>'kuni 2025 detsember tegevuskava'!AE51</f>
        <v>189000</v>
      </c>
      <c r="P122" s="85" t="str">
        <f>"(50)"</f>
        <v>(50)</v>
      </c>
    </row>
    <row r="123" spans="2:16" ht="16.5" x14ac:dyDescent="0.35">
      <c r="B123" s="1052"/>
      <c r="C123" s="1055"/>
      <c r="D123" s="1055"/>
      <c r="E123" s="1058"/>
      <c r="F123" s="1055"/>
      <c r="G123" s="983"/>
      <c r="H123" s="968"/>
      <c r="I123" s="100">
        <f>SUM(K123+M123+O123)</f>
        <v>21000</v>
      </c>
      <c r="J123" s="101" t="str">
        <f>"(55)"</f>
        <v>(55)</v>
      </c>
      <c r="K123" s="95">
        <f>'kuni 2025 detsember tegevuskava'!Z51</f>
        <v>0</v>
      </c>
      <c r="L123" s="86" t="str">
        <f>"(55)"</f>
        <v>(55)</v>
      </c>
      <c r="M123" s="100">
        <f>'kuni 2025 detsember tegevuskava'!AC51</f>
        <v>0</v>
      </c>
      <c r="N123" s="101" t="str">
        <f>"(55)"</f>
        <v>(55)</v>
      </c>
      <c r="O123" s="95">
        <f>'kuni 2025 detsember tegevuskava'!AF51</f>
        <v>21000</v>
      </c>
      <c r="P123" s="88" t="str">
        <f>"(55)"</f>
        <v>(55)</v>
      </c>
    </row>
    <row r="124" spans="2:16" ht="16.5" x14ac:dyDescent="0.35">
      <c r="B124" s="1052"/>
      <c r="C124" s="1055"/>
      <c r="D124" s="1055"/>
      <c r="E124" s="1058"/>
      <c r="F124" s="1055"/>
      <c r="G124" s="983"/>
      <c r="H124" s="968"/>
      <c r="I124" s="144" t="s">
        <v>569</v>
      </c>
      <c r="J124" s="8"/>
      <c r="K124" s="8"/>
      <c r="L124" s="8"/>
      <c r="M124" s="8"/>
      <c r="N124" s="8"/>
      <c r="O124" s="8"/>
      <c r="P124" s="152"/>
    </row>
    <row r="125" spans="2:16" ht="16.5" x14ac:dyDescent="0.35">
      <c r="B125" s="1052"/>
      <c r="C125" s="1055"/>
      <c r="D125" s="1055"/>
      <c r="E125" s="1058"/>
      <c r="F125" s="1055"/>
      <c r="G125" s="983"/>
      <c r="H125" s="968"/>
      <c r="I125" s="96">
        <f>SUM(I126:I127)</f>
        <v>214620</v>
      </c>
      <c r="J125" s="97"/>
      <c r="K125" s="89">
        <f>SUM(K126:K127)</f>
        <v>0</v>
      </c>
      <c r="L125" s="90"/>
      <c r="M125" s="96">
        <f>SUM(M126:M127)</f>
        <v>0</v>
      </c>
      <c r="N125" s="102"/>
      <c r="O125" s="96">
        <f>SUM(O126:O127)</f>
        <v>214620</v>
      </c>
      <c r="P125" s="127"/>
    </row>
    <row r="126" spans="2:16" ht="16.5" x14ac:dyDescent="0.35">
      <c r="B126" s="1052"/>
      <c r="C126" s="1055"/>
      <c r="D126" s="1055"/>
      <c r="E126" s="1058"/>
      <c r="F126" s="1055"/>
      <c r="G126" s="983"/>
      <c r="H126" s="968"/>
      <c r="I126" s="98">
        <f>SUM(K126+M126+O126)</f>
        <v>189000</v>
      </c>
      <c r="J126" s="99" t="str">
        <f>"(50)"</f>
        <v>(50)</v>
      </c>
      <c r="K126" s="969">
        <f>K122</f>
        <v>0</v>
      </c>
      <c r="L126" s="970" t="str">
        <f>"(50)"</f>
        <v>(50)</v>
      </c>
      <c r="M126" s="98">
        <f>M122</f>
        <v>0</v>
      </c>
      <c r="N126" s="99" t="str">
        <f>"(50)"</f>
        <v>(50)</v>
      </c>
      <c r="O126" s="98">
        <f>O122</f>
        <v>189000</v>
      </c>
      <c r="P126" s="85" t="str">
        <f>"(50)"</f>
        <v>(50)</v>
      </c>
    </row>
    <row r="127" spans="2:16" ht="17" thickBot="1" x14ac:dyDescent="0.4">
      <c r="B127" s="1053"/>
      <c r="C127" s="1056"/>
      <c r="D127" s="1056"/>
      <c r="E127" s="1059"/>
      <c r="F127" s="1056"/>
      <c r="G127" s="985"/>
      <c r="H127" s="176"/>
      <c r="I127" s="123">
        <f>SUM(K127+M127+O127)</f>
        <v>25620</v>
      </c>
      <c r="J127" s="124" t="str">
        <f>"(55)"</f>
        <v>(55)</v>
      </c>
      <c r="K127" s="91">
        <f>SUM(K123*1.2)</f>
        <v>0</v>
      </c>
      <c r="L127" s="92" t="str">
        <f>"(55)"</f>
        <v>(55)</v>
      </c>
      <c r="M127" s="123">
        <f>SUM(M123*1.22)</f>
        <v>0</v>
      </c>
      <c r="N127" s="124" t="str">
        <f>"(55)"</f>
        <v>(55)</v>
      </c>
      <c r="O127" s="123">
        <f>SUM(O123*1.22)</f>
        <v>25620</v>
      </c>
      <c r="P127" s="94" t="str">
        <f>"(55)"</f>
        <v>(55)</v>
      </c>
    </row>
    <row r="128" spans="2:16" ht="16.5" x14ac:dyDescent="0.35">
      <c r="B128" s="1051" t="str">
        <f>'kuni 2025 detsember tegevuskava'!A53&amp;"/"&amp;'kuni 2025 detsember tegevuskava'!B53</f>
        <v>MKM/RIT</v>
      </c>
      <c r="C128" s="1054" t="str">
        <f>'kuni 2025 detsember tegevuskava'!I53</f>
        <v>RRF toetuse lõppemine 2024. aasta lõpul, mis toob kaasa olukorra, kus RIT-i kasvuks vahendid (tehnoloogiline võlg+ teenuse igaaastane maksumus) puuduvad</v>
      </c>
      <c r="D128" s="1054" t="str">
        <f>'kuni 2025 detsember tegevuskava'!J53</f>
        <v>Konsolideerimisreserv (RIT ATK standardteenuse klientide arvu kasvuks)</v>
      </c>
      <c r="E128" s="1057" t="str">
        <f>'kuni 2025 detsember tegevuskava'!K53</f>
        <v>Perioodil 2025-2028 on RIT ATK standardteenusele toodud 14 862 uut kasutajat. Eelarve arvestatud eeldusel, et asutus katab olemasolevatest vahenditest vähemalt 25% std. teenuse kulust</v>
      </c>
      <c r="F128" s="1054" t="str">
        <f>'kuni 2025 detsember tegevuskava'!P53&amp;"/"</f>
        <v>RES IKT (vaja juurde taotleda)/</v>
      </c>
      <c r="G128" s="984" cm="1">
        <f t="array" ref="G128">_xlfn.IFS('kuni 2025 detsember tegevuskava'!G53='kuni 2025 detsember tegevuskava'!$G$107,1,'kuni 2025 detsember tegevuskava'!G53='kuni 2025 detsember tegevuskava'!$G$108,2,'kuni 2025 detsember tegevuskava'!G53='kuni 2025 detsember tegevuskava'!$G$109,3,'kuni 2025 detsember tegevuskava'!G53='kuni 2025 detsember tegevuskava'!$G$110,4)</f>
        <v>4</v>
      </c>
      <c r="H128" s="177" cm="1">
        <f t="array" ref="H128">_xlfn.IFS(OR('kuni 2025 detsember tegevuskava'!P53='kuni 2025 detsember tegevuskava'!$P$107,'kuni 2025 detsember tegevuskava'!P53='kuni 2025 detsember tegevuskava'!$P$109,'kuni 2025 detsember tegevuskava'!P53='kuni 2025 detsember tegevuskava'!$P$110,'kuni 2025 detsember tegevuskava'!P53='kuni 2025 detsember tegevuskava'!$P$111),1,'kuni 2025 detsember tegevuskava'!P53='kuni 2025 detsember tegevuskava'!$P$112,2,'kuni 2025 detsember tegevuskava'!P53='kuni 2025 detsember tegevuskava'!$P$113,2,'kuni 2025 detsember tegevuskava'!P53='kuni 2025 detsember tegevuskava'!$P$108,3)</f>
        <v>1</v>
      </c>
      <c r="I128" s="125">
        <f>SUM(I129:I130)</f>
        <v>7655327</v>
      </c>
      <c r="J128" s="126"/>
      <c r="K128" s="79">
        <f>SUM(K129:K130)</f>
        <v>0</v>
      </c>
      <c r="L128" s="81"/>
      <c r="M128" s="125">
        <f>SUM(M129:M130)</f>
        <v>0</v>
      </c>
      <c r="N128" s="126"/>
      <c r="O128" s="79">
        <f>SUM(O129:O130)</f>
        <v>7655327</v>
      </c>
      <c r="P128" s="83"/>
    </row>
    <row r="129" spans="2:16" ht="16.5" x14ac:dyDescent="0.35">
      <c r="B129" s="1052"/>
      <c r="C129" s="1055"/>
      <c r="D129" s="1055"/>
      <c r="E129" s="1058"/>
      <c r="F129" s="1055"/>
      <c r="G129" s="983"/>
      <c r="H129" s="968"/>
      <c r="I129" s="98">
        <f>SUM(K129+M129+O129)</f>
        <v>2344897.15</v>
      </c>
      <c r="J129" s="99" t="str">
        <f>"(50)"</f>
        <v>(50)</v>
      </c>
      <c r="K129" s="969">
        <f>'kuni 2025 detsember tegevuskava'!Y53</f>
        <v>0</v>
      </c>
      <c r="L129" s="970" t="str">
        <f>"(50)"</f>
        <v>(50)</v>
      </c>
      <c r="M129" s="98">
        <f>'kuni 2025 detsember tegevuskava'!AB53</f>
        <v>0</v>
      </c>
      <c r="N129" s="99" t="str">
        <f>"(50)"</f>
        <v>(50)</v>
      </c>
      <c r="O129" s="969">
        <f>'kuni 2025 detsember tegevuskava'!AE53</f>
        <v>2344897.15</v>
      </c>
      <c r="P129" s="85" t="str">
        <f>"(50)"</f>
        <v>(50)</v>
      </c>
    </row>
    <row r="130" spans="2:16" ht="16.5" x14ac:dyDescent="0.35">
      <c r="B130" s="1052"/>
      <c r="C130" s="1055"/>
      <c r="D130" s="1055"/>
      <c r="E130" s="1058"/>
      <c r="F130" s="1055"/>
      <c r="G130" s="983"/>
      <c r="H130" s="968"/>
      <c r="I130" s="100">
        <f>SUM(K130+M130+O130)</f>
        <v>5310429.8499999996</v>
      </c>
      <c r="J130" s="101" t="str">
        <f>"(55)"</f>
        <v>(55)</v>
      </c>
      <c r="K130" s="95">
        <f>'kuni 2025 detsember tegevuskava'!Z53</f>
        <v>0</v>
      </c>
      <c r="L130" s="86" t="str">
        <f>"(55)"</f>
        <v>(55)</v>
      </c>
      <c r="M130" s="100">
        <f>'kuni 2025 detsember tegevuskava'!AC53</f>
        <v>0</v>
      </c>
      <c r="N130" s="101" t="str">
        <f>"(55)"</f>
        <v>(55)</v>
      </c>
      <c r="O130" s="95">
        <f>'kuni 2025 detsember tegevuskava'!AF53</f>
        <v>5310429.8499999996</v>
      </c>
      <c r="P130" s="88" t="str">
        <f>"(55)"</f>
        <v>(55)</v>
      </c>
    </row>
    <row r="131" spans="2:16" ht="16.5" x14ac:dyDescent="0.35">
      <c r="B131" s="1052"/>
      <c r="C131" s="1055"/>
      <c r="D131" s="1055"/>
      <c r="E131" s="1058"/>
      <c r="F131" s="1055"/>
      <c r="G131" s="983"/>
      <c r="H131" s="968"/>
      <c r="I131" s="144" t="s">
        <v>569</v>
      </c>
      <c r="J131" s="8"/>
      <c r="K131" s="8"/>
      <c r="L131" s="8"/>
      <c r="M131" s="8"/>
      <c r="N131" s="8"/>
      <c r="O131" s="8"/>
      <c r="P131" s="152"/>
    </row>
    <row r="132" spans="2:16" ht="16.5" x14ac:dyDescent="0.35">
      <c r="B132" s="1052"/>
      <c r="C132" s="1055"/>
      <c r="D132" s="1055"/>
      <c r="E132" s="1058"/>
      <c r="F132" s="1055"/>
      <c r="G132" s="983"/>
      <c r="H132" s="968"/>
      <c r="I132" s="96">
        <f>SUM(I133:I134)</f>
        <v>8823621.5669999998</v>
      </c>
      <c r="J132" s="97"/>
      <c r="K132" s="89">
        <f>SUM(K133:K134)</f>
        <v>0</v>
      </c>
      <c r="L132" s="90"/>
      <c r="M132" s="96">
        <f>SUM(M133:M134)</f>
        <v>0</v>
      </c>
      <c r="N132" s="102"/>
      <c r="O132" s="96">
        <f>SUM(O133:O134)</f>
        <v>8823621.5669999998</v>
      </c>
      <c r="P132" s="127"/>
    </row>
    <row r="133" spans="2:16" ht="16.5" x14ac:dyDescent="0.35">
      <c r="B133" s="1052"/>
      <c r="C133" s="1055"/>
      <c r="D133" s="1055"/>
      <c r="E133" s="1058"/>
      <c r="F133" s="1055"/>
      <c r="G133" s="983"/>
      <c r="H133" s="968"/>
      <c r="I133" s="98">
        <f>SUM(K133+M133+O133)</f>
        <v>2344897.15</v>
      </c>
      <c r="J133" s="99" t="str">
        <f>"(50)"</f>
        <v>(50)</v>
      </c>
      <c r="K133" s="969">
        <f>K129</f>
        <v>0</v>
      </c>
      <c r="L133" s="970" t="str">
        <f>"(50)"</f>
        <v>(50)</v>
      </c>
      <c r="M133" s="98">
        <f>M129</f>
        <v>0</v>
      </c>
      <c r="N133" s="99" t="str">
        <f>"(50)"</f>
        <v>(50)</v>
      </c>
      <c r="O133" s="98">
        <f>O129</f>
        <v>2344897.15</v>
      </c>
      <c r="P133" s="85" t="str">
        <f>"(50)"</f>
        <v>(50)</v>
      </c>
    </row>
    <row r="134" spans="2:16" ht="17" thickBot="1" x14ac:dyDescent="0.4">
      <c r="B134" s="1053"/>
      <c r="C134" s="1056"/>
      <c r="D134" s="1056"/>
      <c r="E134" s="1059"/>
      <c r="F134" s="1056"/>
      <c r="G134" s="985"/>
      <c r="H134" s="176"/>
      <c r="I134" s="123">
        <f>SUM(K134+M134+O134)</f>
        <v>6478724.4169999994</v>
      </c>
      <c r="J134" s="124" t="str">
        <f>"(55)"</f>
        <v>(55)</v>
      </c>
      <c r="K134" s="91">
        <f>SUM(K130*1.2)</f>
        <v>0</v>
      </c>
      <c r="L134" s="92" t="str">
        <f>"(55)"</f>
        <v>(55)</v>
      </c>
      <c r="M134" s="123">
        <f>SUM(M130*1.22)</f>
        <v>0</v>
      </c>
      <c r="N134" s="124" t="str">
        <f>"(55)"</f>
        <v>(55)</v>
      </c>
      <c r="O134" s="123">
        <f>SUM(O130*1.22)</f>
        <v>6478724.4169999994</v>
      </c>
      <c r="P134" s="94" t="str">
        <f>"(55)"</f>
        <v>(55)</v>
      </c>
    </row>
    <row r="135" spans="2:16" ht="16.5" x14ac:dyDescent="0.35">
      <c r="B135" s="1051" t="str">
        <f>'kuni 2025 detsember tegevuskava'!A54&amp;"/"&amp;'kuni 2025 detsember tegevuskava'!B54</f>
        <v>MKM/RIT</v>
      </c>
      <c r="C135" s="1054" t="str">
        <f>'kuni 2025 detsember tegevuskava'!I54</f>
        <v>RRF toetuse lõppemine 2024. aasta lõpul, mis toob kaasa olukorra, kus RIT-i kasvuks vahendid (tehnoloogiline võlg+ teenuse igaaastane maksumus) puuduvad</v>
      </c>
      <c r="D135" s="1054" t="str">
        <f>'kuni 2025 detsember tegevuskava'!J54</f>
        <v>RRF JÄTK Konsolideerimisreserv (RIT ATK standardteenuse klientide arvu kasvuks). RRF-i jätk. 2024 on rahastatud konsolideerimisega seotud inimesed RRF-st.</v>
      </c>
      <c r="E135" s="1057" t="str">
        <f>'kuni 2025 detsember tegevuskava'!K54</f>
        <v>Perioodil 2025-2028 on RIT ATK standardteenusele toodud 14 862 uut kasutajat. Eelarve arvestatud eeldusel, et asutus katab olemasolevatest vahenditest vähemalt 25% std. teenuse kulust</v>
      </c>
      <c r="F135" s="1054" t="str">
        <f>'kuni 2025 detsember tegevuskava'!P54&amp;"/"</f>
        <v>RES IKT (vaja juurde taotleda)/</v>
      </c>
      <c r="G135" s="984" cm="1">
        <f t="array" ref="G135">_xlfn.IFS('kuni 2025 detsember tegevuskava'!G54='kuni 2025 detsember tegevuskava'!$G$107,1,'kuni 2025 detsember tegevuskava'!G54='kuni 2025 detsember tegevuskava'!$G$108,2,'kuni 2025 detsember tegevuskava'!G54='kuni 2025 detsember tegevuskava'!$G$109,3,'kuni 2025 detsember tegevuskava'!G54='kuni 2025 detsember tegevuskava'!$G$110,4)</f>
        <v>4</v>
      </c>
      <c r="H135" s="177" cm="1">
        <f t="array" ref="H135">_xlfn.IFS(OR('kuni 2025 detsember tegevuskava'!P54='kuni 2025 detsember tegevuskava'!$P$107,'kuni 2025 detsember tegevuskava'!P54='kuni 2025 detsember tegevuskava'!$P$109,'kuni 2025 detsember tegevuskava'!P54='kuni 2025 detsember tegevuskava'!$P$110,'kuni 2025 detsember tegevuskava'!P54='kuni 2025 detsember tegevuskava'!$P$111),1,'kuni 2025 detsember tegevuskava'!P54='kuni 2025 detsember tegevuskava'!$P$112,2,'kuni 2025 detsember tegevuskava'!P54='kuni 2025 detsember tegevuskava'!$P$113,2,'kuni 2025 detsember tegevuskava'!P54='kuni 2025 detsember tegevuskava'!$P$108,3)</f>
        <v>1</v>
      </c>
      <c r="I135" s="125">
        <f>SUM(I136:I137)</f>
        <v>2000000</v>
      </c>
      <c r="J135" s="126"/>
      <c r="K135" s="79">
        <f>SUM(K136:K137)</f>
        <v>0</v>
      </c>
      <c r="L135" s="81"/>
      <c r="M135" s="125">
        <f>SUM(M136:M137)</f>
        <v>0</v>
      </c>
      <c r="N135" s="126"/>
      <c r="O135" s="79">
        <f>SUM(O136:O137)</f>
        <v>2000000</v>
      </c>
      <c r="P135" s="83"/>
    </row>
    <row r="136" spans="2:16" ht="16.5" x14ac:dyDescent="0.35">
      <c r="B136" s="1052"/>
      <c r="C136" s="1055"/>
      <c r="D136" s="1055"/>
      <c r="E136" s="1058"/>
      <c r="F136" s="1055"/>
      <c r="G136" s="983"/>
      <c r="H136" s="968"/>
      <c r="I136" s="98">
        <f>SUM(K136+M136+O136)</f>
        <v>2000000</v>
      </c>
      <c r="J136" s="99" t="str">
        <f>"(50)"</f>
        <v>(50)</v>
      </c>
      <c r="K136" s="969">
        <f>'kuni 2025 detsember tegevuskava'!Y54</f>
        <v>0</v>
      </c>
      <c r="L136" s="970" t="str">
        <f>"(50)"</f>
        <v>(50)</v>
      </c>
      <c r="M136" s="98">
        <f>'kuni 2025 detsember tegevuskava'!AB54</f>
        <v>0</v>
      </c>
      <c r="N136" s="99" t="str">
        <f>"(50)"</f>
        <v>(50)</v>
      </c>
      <c r="O136" s="969">
        <f>'kuni 2025 detsember tegevuskava'!AE54</f>
        <v>2000000</v>
      </c>
      <c r="P136" s="85" t="str">
        <f>"(50)"</f>
        <v>(50)</v>
      </c>
    </row>
    <row r="137" spans="2:16" ht="16.5" x14ac:dyDescent="0.35">
      <c r="B137" s="1052"/>
      <c r="C137" s="1055"/>
      <c r="D137" s="1055"/>
      <c r="E137" s="1058"/>
      <c r="F137" s="1055"/>
      <c r="G137" s="983"/>
      <c r="H137" s="968"/>
      <c r="I137" s="100">
        <f>SUM(K137+M137+O137)</f>
        <v>0</v>
      </c>
      <c r="J137" s="101" t="str">
        <f>"(55)"</f>
        <v>(55)</v>
      </c>
      <c r="K137" s="95">
        <f>'kuni 2025 detsember tegevuskava'!Z54</f>
        <v>0</v>
      </c>
      <c r="L137" s="86" t="str">
        <f>"(55)"</f>
        <v>(55)</v>
      </c>
      <c r="M137" s="100">
        <f>'kuni 2025 detsember tegevuskava'!AC54</f>
        <v>0</v>
      </c>
      <c r="N137" s="101" t="str">
        <f>"(55)"</f>
        <v>(55)</v>
      </c>
      <c r="O137" s="95">
        <f>'kuni 2025 detsember tegevuskava'!AF60</f>
        <v>0</v>
      </c>
      <c r="P137" s="88" t="str">
        <f>"(55)"</f>
        <v>(55)</v>
      </c>
    </row>
    <row r="138" spans="2:16" ht="16.5" x14ac:dyDescent="0.35">
      <c r="B138" s="1052"/>
      <c r="C138" s="1055"/>
      <c r="D138" s="1055"/>
      <c r="E138" s="1058"/>
      <c r="F138" s="1055"/>
      <c r="G138" s="983"/>
      <c r="H138" s="968"/>
      <c r="I138" s="144" t="s">
        <v>569</v>
      </c>
      <c r="J138" s="8"/>
      <c r="K138" s="8"/>
      <c r="L138" s="8"/>
      <c r="M138" s="8"/>
      <c r="N138" s="8"/>
      <c r="O138" s="8"/>
      <c r="P138" s="152"/>
    </row>
    <row r="139" spans="2:16" ht="16.5" x14ac:dyDescent="0.35">
      <c r="B139" s="1052"/>
      <c r="C139" s="1055"/>
      <c r="D139" s="1055"/>
      <c r="E139" s="1058"/>
      <c r="F139" s="1055"/>
      <c r="G139" s="983"/>
      <c r="H139" s="968"/>
      <c r="I139" s="96">
        <f>SUM(I140:I141)</f>
        <v>2000000</v>
      </c>
      <c r="J139" s="97"/>
      <c r="K139" s="89">
        <f>SUM(K140:K141)</f>
        <v>0</v>
      </c>
      <c r="L139" s="90"/>
      <c r="M139" s="96">
        <f>SUM(M140:M141)</f>
        <v>0</v>
      </c>
      <c r="N139" s="102"/>
      <c r="O139" s="96">
        <f>SUM(O140:O141)</f>
        <v>2000000</v>
      </c>
      <c r="P139" s="127"/>
    </row>
    <row r="140" spans="2:16" ht="16.5" x14ac:dyDescent="0.35">
      <c r="B140" s="1052"/>
      <c r="C140" s="1055"/>
      <c r="D140" s="1055"/>
      <c r="E140" s="1058"/>
      <c r="F140" s="1055"/>
      <c r="G140" s="983"/>
      <c r="H140" s="968"/>
      <c r="I140" s="98">
        <f>SUM(K140+M140+O140)</f>
        <v>2000000</v>
      </c>
      <c r="J140" s="99" t="str">
        <f>"(50)"</f>
        <v>(50)</v>
      </c>
      <c r="K140" s="969">
        <f>K136</f>
        <v>0</v>
      </c>
      <c r="L140" s="970" t="str">
        <f>"(50)"</f>
        <v>(50)</v>
      </c>
      <c r="M140" s="98">
        <f>M136</f>
        <v>0</v>
      </c>
      <c r="N140" s="99" t="str">
        <f>"(50)"</f>
        <v>(50)</v>
      </c>
      <c r="O140" s="98">
        <f>O136</f>
        <v>2000000</v>
      </c>
      <c r="P140" s="85" t="str">
        <f>"(50)"</f>
        <v>(50)</v>
      </c>
    </row>
    <row r="141" spans="2:16" ht="17" thickBot="1" x14ac:dyDescent="0.4">
      <c r="B141" s="1053"/>
      <c r="C141" s="1056"/>
      <c r="D141" s="1056"/>
      <c r="E141" s="1059"/>
      <c r="F141" s="1056"/>
      <c r="G141" s="985"/>
      <c r="H141" s="176"/>
      <c r="I141" s="123">
        <f>SUM(K141+M141+O141)</f>
        <v>0</v>
      </c>
      <c r="J141" s="124" t="str">
        <f>"(55)"</f>
        <v>(55)</v>
      </c>
      <c r="K141" s="91">
        <f>SUM(K137*1.2)</f>
        <v>0</v>
      </c>
      <c r="L141" s="92" t="str">
        <f>"(55)"</f>
        <v>(55)</v>
      </c>
      <c r="M141" s="123">
        <f>SUM(M137*1.22)</f>
        <v>0</v>
      </c>
      <c r="N141" s="124" t="str">
        <f>"(55)"</f>
        <v>(55)</v>
      </c>
      <c r="O141" s="123">
        <f>SUM(O137*1.22)</f>
        <v>0</v>
      </c>
      <c r="P141" s="94" t="str">
        <f>"(55)"</f>
        <v>(55)</v>
      </c>
    </row>
    <row r="142" spans="2:16" ht="16.5" customHeight="1" x14ac:dyDescent="0.35">
      <c r="B142" s="1051" t="str">
        <f>'kuni 2025 detsember tegevuskava'!A55&amp;"/"&amp;'kuni 2025 detsember tegevuskava'!B55</f>
        <v>MKM/RIT</v>
      </c>
      <c r="C142" s="1054" t="str">
        <f>'kuni 2025 detsember tegevuskava'!I55</f>
        <v>Eri-ja lisateenused, mida on rahastatud RRFst. Asutused on teenuste konsolideerimisega andnud eelarvet kaasa vähem, kui teenuseosutamiseks vajalik on</v>
      </c>
      <c r="D142" s="1054" t="str">
        <f>'kuni 2025 detsember tegevuskava'!J55</f>
        <v>RRF JÄTK RIT klientide eri- ja lisateenused</v>
      </c>
      <c r="E142" s="1057" t="str">
        <f>'kuni 2025 detsember tegevuskava'!K55</f>
        <v>Lisateenuste osutamine asutustele saab jätkuda. Peamised kulud on haldamisega seotud personalikulud</v>
      </c>
      <c r="F142" s="1054" t="str">
        <f>'kuni 2025 detsember tegevuskava'!P55&amp;"/"</f>
        <v>RES IKT (vaja juurde taotleda)/</v>
      </c>
      <c r="G142" s="984" cm="1">
        <f t="array" ref="G142">_xlfn.IFS('kuni 2025 detsember tegevuskava'!G55='kuni 2025 detsember tegevuskava'!$G$107,1,'kuni 2025 detsember tegevuskava'!G55='kuni 2025 detsember tegevuskava'!$G$108,2,'kuni 2025 detsember tegevuskava'!G55='kuni 2025 detsember tegevuskava'!$G$109,3,'kuni 2025 detsember tegevuskava'!G55='kuni 2025 detsember tegevuskava'!$G$110,4)</f>
        <v>4</v>
      </c>
      <c r="H142" s="177" cm="1">
        <f t="array" ref="H142">_xlfn.IFS(OR('kuni 2025 detsember tegevuskava'!P55='kuni 2025 detsember tegevuskava'!$P$107,'kuni 2025 detsember tegevuskava'!P55='kuni 2025 detsember tegevuskava'!$P$109,'kuni 2025 detsember tegevuskava'!P55='kuni 2025 detsember tegevuskava'!$P$110,'kuni 2025 detsember tegevuskava'!P55='kuni 2025 detsember tegevuskava'!$P$111),1,'kuni 2025 detsember tegevuskava'!P55='kuni 2025 detsember tegevuskava'!$P$112,2,'kuni 2025 detsember tegevuskava'!P55='kuni 2025 detsember tegevuskava'!$P$113,2,'kuni 2025 detsember tegevuskava'!P55='kuni 2025 detsember tegevuskava'!$P$108,3)</f>
        <v>1</v>
      </c>
      <c r="I142" s="125">
        <f>SUM(I143:I144)</f>
        <v>3144621</v>
      </c>
      <c r="J142" s="126"/>
      <c r="K142" s="79">
        <f>SUM(K143:K144)</f>
        <v>0</v>
      </c>
      <c r="L142" s="81"/>
      <c r="M142" s="125">
        <f>SUM(M143:M144)</f>
        <v>0</v>
      </c>
      <c r="N142" s="126"/>
      <c r="O142" s="79">
        <f>SUM(O143:O144)</f>
        <v>3144621</v>
      </c>
      <c r="P142" s="83"/>
    </row>
    <row r="143" spans="2:16" ht="16.5" x14ac:dyDescent="0.35">
      <c r="B143" s="1052"/>
      <c r="C143" s="1055"/>
      <c r="D143" s="1055"/>
      <c r="E143" s="1058"/>
      <c r="F143" s="1055"/>
      <c r="G143" s="983"/>
      <c r="H143" s="968"/>
      <c r="I143" s="98">
        <f>SUM(K143+M143+O143)</f>
        <v>2246234.7000000002</v>
      </c>
      <c r="J143" s="99" t="str">
        <f>"(50)"</f>
        <v>(50)</v>
      </c>
      <c r="K143" s="969">
        <f>'kuni 2025 detsember tegevuskava'!Y55</f>
        <v>0</v>
      </c>
      <c r="L143" s="970" t="str">
        <f>"(50)"</f>
        <v>(50)</v>
      </c>
      <c r="M143" s="98">
        <f>'kuni 2025 detsember tegevuskava'!AB55</f>
        <v>0</v>
      </c>
      <c r="N143" s="99" t="str">
        <f>"(50)"</f>
        <v>(50)</v>
      </c>
      <c r="O143" s="969">
        <f>'kuni 2025 detsember tegevuskava'!AE55</f>
        <v>2246234.7000000002</v>
      </c>
      <c r="P143" s="85" t="str">
        <f>"(50)"</f>
        <v>(50)</v>
      </c>
    </row>
    <row r="144" spans="2:16" ht="16.5" x14ac:dyDescent="0.35">
      <c r="B144" s="1052"/>
      <c r="C144" s="1055"/>
      <c r="D144" s="1055"/>
      <c r="E144" s="1058"/>
      <c r="F144" s="1055"/>
      <c r="G144" s="983"/>
      <c r="H144" s="968"/>
      <c r="I144" s="98">
        <f>SUM(K144+M144+O144)</f>
        <v>898386.3</v>
      </c>
      <c r="J144" s="101" t="str">
        <f>"(55)"</f>
        <v>(55)</v>
      </c>
      <c r="K144" s="95">
        <f>'kuni 2025 detsember tegevuskava'!Z55</f>
        <v>0</v>
      </c>
      <c r="L144" s="86" t="str">
        <f>"(55)"</f>
        <v>(55)</v>
      </c>
      <c r="M144" s="100">
        <f>'kuni 2025 detsember tegevuskava'!AC55</f>
        <v>0</v>
      </c>
      <c r="N144" s="101" t="str">
        <f>"(55)"</f>
        <v>(55)</v>
      </c>
      <c r="O144" s="95">
        <f>'kuni 2025 detsember tegevuskava'!AF55</f>
        <v>898386.3</v>
      </c>
      <c r="P144" s="88" t="str">
        <f>"(55)"</f>
        <v>(55)</v>
      </c>
    </row>
    <row r="145" spans="2:16" ht="16.5" x14ac:dyDescent="0.35">
      <c r="B145" s="1052"/>
      <c r="C145" s="1055"/>
      <c r="D145" s="1055"/>
      <c r="E145" s="1058"/>
      <c r="F145" s="1055"/>
      <c r="G145" s="983"/>
      <c r="H145" s="968"/>
      <c r="I145" s="172" t="s">
        <v>569</v>
      </c>
      <c r="J145" s="8"/>
      <c r="K145" s="8"/>
      <c r="L145" s="8"/>
      <c r="M145" s="8"/>
      <c r="N145" s="8"/>
      <c r="O145" s="8"/>
      <c r="P145" s="152"/>
    </row>
    <row r="146" spans="2:16" ht="16.5" x14ac:dyDescent="0.35">
      <c r="B146" s="1052"/>
      <c r="C146" s="1055"/>
      <c r="D146" s="1055"/>
      <c r="E146" s="1058"/>
      <c r="F146" s="1055"/>
      <c r="G146" s="983"/>
      <c r="H146" s="968"/>
      <c r="I146" s="168">
        <f>SUM(I147:I148)</f>
        <v>3342265.9860000005</v>
      </c>
      <c r="J146" s="97"/>
      <c r="K146" s="89">
        <f>SUM(K147:K148)</f>
        <v>0</v>
      </c>
      <c r="L146" s="90"/>
      <c r="M146" s="96">
        <f>SUM(M147:M148)</f>
        <v>0</v>
      </c>
      <c r="N146" s="102"/>
      <c r="O146" s="96">
        <f>SUM(O147:O148)</f>
        <v>3342265.9860000005</v>
      </c>
      <c r="P146" s="127"/>
    </row>
    <row r="147" spans="2:16" ht="16.5" x14ac:dyDescent="0.35">
      <c r="B147" s="1052"/>
      <c r="C147" s="1055"/>
      <c r="D147" s="1055"/>
      <c r="E147" s="1058"/>
      <c r="F147" s="1055"/>
      <c r="G147" s="983"/>
      <c r="H147" s="968"/>
      <c r="I147" s="98">
        <f>SUM(K147+M147+O147)</f>
        <v>2246234.7000000002</v>
      </c>
      <c r="J147" s="99" t="str">
        <f>"(50)"</f>
        <v>(50)</v>
      </c>
      <c r="K147" s="969">
        <f>K143</f>
        <v>0</v>
      </c>
      <c r="L147" s="970" t="str">
        <f>"(50)"</f>
        <v>(50)</v>
      </c>
      <c r="M147" s="98">
        <f>M143</f>
        <v>0</v>
      </c>
      <c r="N147" s="99" t="str">
        <f>"(50)"</f>
        <v>(50)</v>
      </c>
      <c r="O147" s="98">
        <f>O143</f>
        <v>2246234.7000000002</v>
      </c>
      <c r="P147" s="85" t="str">
        <f>"(50)"</f>
        <v>(50)</v>
      </c>
    </row>
    <row r="148" spans="2:16" ht="17" thickBot="1" x14ac:dyDescent="0.4">
      <c r="B148" s="1053"/>
      <c r="C148" s="1056"/>
      <c r="D148" s="1056"/>
      <c r="E148" s="1059"/>
      <c r="F148" s="1056"/>
      <c r="G148" s="985"/>
      <c r="H148" s="176"/>
      <c r="I148" s="123">
        <f>SUM(K148+M148+O148)</f>
        <v>1096031.2860000001</v>
      </c>
      <c r="J148" s="124" t="str">
        <f>"(55)"</f>
        <v>(55)</v>
      </c>
      <c r="K148" s="91">
        <f>SUM(K144*1.2)</f>
        <v>0</v>
      </c>
      <c r="L148" s="92" t="str">
        <f>"(55)"</f>
        <v>(55)</v>
      </c>
      <c r="M148" s="123">
        <f>SUM(M144*1.22)</f>
        <v>0</v>
      </c>
      <c r="N148" s="124" t="str">
        <f>"(55)"</f>
        <v>(55)</v>
      </c>
      <c r="O148" s="123">
        <f>SUM(O144*1.22)</f>
        <v>1096031.2860000001</v>
      </c>
      <c r="P148" s="94" t="str">
        <f>"(55)"</f>
        <v>(55)</v>
      </c>
    </row>
    <row r="149" spans="2:16" ht="16.5" x14ac:dyDescent="0.35">
      <c r="B149" s="1051" t="str">
        <f>'kuni 2025 detsember tegevuskava'!A58&amp;"/"&amp;'kuni 2025 detsember tegevuskava'!B58</f>
        <v>MKM/RIT</v>
      </c>
      <c r="C149" s="1054" t="str">
        <f>'kuni 2025 detsember tegevuskava'!I58</f>
        <v>Riigiülene avalike pilvede kompetents ning keskve vaade puudub</v>
      </c>
      <c r="D149" s="1054" t="str">
        <f>'kuni 2025 detsember tegevuskava'!J58</f>
        <v>Avalike pilvede kompetentsikeskuse loomine</v>
      </c>
      <c r="E149" s="1057" t="str">
        <f>'kuni 2025 detsember tegevuskava'!K58</f>
        <v>Kompententsikeskus on loodud ning töötab. 2025 alustatakse välise partneriga ning värvatakse positsioonid RITi.</v>
      </c>
      <c r="F149" s="1054" t="str">
        <f>'kuni 2025 detsember tegevuskava'!P58&amp;"/"</f>
        <v>RES IKT (vaja juurde taotleda)/</v>
      </c>
      <c r="G149" s="984" cm="1">
        <f t="array" ref="G149">_xlfn.IFS('kuni 2025 detsember tegevuskava'!G58='kuni 2025 detsember tegevuskava'!$G$107,1,'kuni 2025 detsember tegevuskava'!G58='kuni 2025 detsember tegevuskava'!$G$108,2,'kuni 2025 detsember tegevuskava'!G58='kuni 2025 detsember tegevuskava'!$G$109,3,'kuni 2025 detsember tegevuskava'!G58='kuni 2025 detsember tegevuskava'!$G$110,4)</f>
        <v>4</v>
      </c>
      <c r="H149" s="177" cm="1">
        <f t="array" ref="H149">_xlfn.IFS(OR('kuni 2025 detsember tegevuskava'!P58='kuni 2025 detsember tegevuskava'!$P$107,'kuni 2025 detsember tegevuskava'!P58='kuni 2025 detsember tegevuskava'!$P$109,'kuni 2025 detsember tegevuskava'!P58='kuni 2025 detsember tegevuskava'!$P$110,'kuni 2025 detsember tegevuskava'!P58='kuni 2025 detsember tegevuskava'!$P$111),1,'kuni 2025 detsember tegevuskava'!P58='kuni 2025 detsember tegevuskava'!$P$112,2,'kuni 2025 detsember tegevuskava'!P58='kuni 2025 detsember tegevuskava'!$P$113,2,'kuni 2025 detsember tegevuskava'!P58='kuni 2025 detsember tegevuskava'!$P$108,3)</f>
        <v>1</v>
      </c>
      <c r="I149" s="125">
        <f>SUM(I150:I151)</f>
        <v>219500</v>
      </c>
      <c r="J149" s="126"/>
      <c r="K149" s="79">
        <f>SUM(K150:K151)</f>
        <v>0</v>
      </c>
      <c r="L149" s="81"/>
      <c r="M149" s="125">
        <f>SUM(M150:M151)</f>
        <v>0</v>
      </c>
      <c r="N149" s="126"/>
      <c r="O149" s="79">
        <f>SUM(O150:O151)</f>
        <v>219500</v>
      </c>
      <c r="P149" s="83"/>
    </row>
    <row r="150" spans="2:16" ht="16.5" x14ac:dyDescent="0.35">
      <c r="B150" s="1052"/>
      <c r="C150" s="1055"/>
      <c r="D150" s="1055"/>
      <c r="E150" s="1058"/>
      <c r="F150" s="1055"/>
      <c r="G150" s="983"/>
      <c r="H150" s="968"/>
      <c r="I150" s="98">
        <f>SUM(K150+M150+O150)</f>
        <v>119500</v>
      </c>
      <c r="J150" s="99" t="str">
        <f>"(50)"</f>
        <v>(50)</v>
      </c>
      <c r="K150" s="969">
        <f>'kuni 2025 detsember tegevuskava'!Y58</f>
        <v>0</v>
      </c>
      <c r="L150" s="970" t="str">
        <f>"(50)"</f>
        <v>(50)</v>
      </c>
      <c r="M150" s="98">
        <f>'kuni 2025 detsember tegevuskava'!AB58</f>
        <v>0</v>
      </c>
      <c r="N150" s="99" t="str">
        <f>"(50)"</f>
        <v>(50)</v>
      </c>
      <c r="O150" s="969">
        <f>'kuni 2025 detsember tegevuskava'!AE58</f>
        <v>119500</v>
      </c>
      <c r="P150" s="85" t="str">
        <f>"(50)"</f>
        <v>(50)</v>
      </c>
    </row>
    <row r="151" spans="2:16" ht="16.5" x14ac:dyDescent="0.35">
      <c r="B151" s="1052"/>
      <c r="C151" s="1055"/>
      <c r="D151" s="1055"/>
      <c r="E151" s="1058"/>
      <c r="F151" s="1055"/>
      <c r="G151" s="983"/>
      <c r="H151" s="968"/>
      <c r="I151" s="100">
        <f>SUM(K151+M151+O151)</f>
        <v>100000</v>
      </c>
      <c r="J151" s="101" t="str">
        <f>"(55)"</f>
        <v>(55)</v>
      </c>
      <c r="K151" s="95">
        <f>'kuni 2025 detsember tegevuskava'!Z58</f>
        <v>0</v>
      </c>
      <c r="L151" s="86" t="str">
        <f>"(55)"</f>
        <v>(55)</v>
      </c>
      <c r="M151" s="100">
        <f>'kuni 2025 detsember tegevuskava'!AC58</f>
        <v>0</v>
      </c>
      <c r="N151" s="101" t="str">
        <f>"(55)"</f>
        <v>(55)</v>
      </c>
      <c r="O151" s="95">
        <f>'kuni 2025 detsember tegevuskava'!AF58</f>
        <v>100000</v>
      </c>
      <c r="P151" s="88" t="str">
        <f>"(55)"</f>
        <v>(55)</v>
      </c>
    </row>
    <row r="152" spans="2:16" ht="16.5" x14ac:dyDescent="0.35">
      <c r="B152" s="1052"/>
      <c r="C152" s="1055"/>
      <c r="D152" s="1055"/>
      <c r="E152" s="1058"/>
      <c r="F152" s="1055"/>
      <c r="G152" s="983"/>
      <c r="H152" s="968"/>
      <c r="I152" s="172" t="s">
        <v>569</v>
      </c>
      <c r="J152" s="8"/>
      <c r="K152" s="8"/>
      <c r="L152" s="8"/>
      <c r="M152" s="8"/>
      <c r="N152" s="8"/>
      <c r="O152" s="8"/>
      <c r="P152" s="152"/>
    </row>
    <row r="153" spans="2:16" ht="16.5" x14ac:dyDescent="0.35">
      <c r="B153" s="1052"/>
      <c r="C153" s="1055"/>
      <c r="D153" s="1055"/>
      <c r="E153" s="1058"/>
      <c r="F153" s="1055"/>
      <c r="G153" s="983"/>
      <c r="H153" s="968"/>
      <c r="I153" s="96">
        <f>SUM(I154:I155)</f>
        <v>241500</v>
      </c>
      <c r="J153" s="97"/>
      <c r="K153" s="89">
        <f>SUM(K154:K155)</f>
        <v>0</v>
      </c>
      <c r="L153" s="90"/>
      <c r="M153" s="96">
        <f>SUM(M154:M155)</f>
        <v>0</v>
      </c>
      <c r="N153" s="102"/>
      <c r="O153" s="96">
        <f>SUM(O154:O155)</f>
        <v>241500</v>
      </c>
      <c r="P153" s="127"/>
    </row>
    <row r="154" spans="2:16" ht="16.5" x14ac:dyDescent="0.35">
      <c r="B154" s="1052"/>
      <c r="C154" s="1055"/>
      <c r="D154" s="1055"/>
      <c r="E154" s="1058"/>
      <c r="F154" s="1055"/>
      <c r="G154" s="983"/>
      <c r="H154" s="968"/>
      <c r="I154" s="98">
        <f>SUM(K154+M154+O154)</f>
        <v>119500</v>
      </c>
      <c r="J154" s="99" t="str">
        <f>"(50)"</f>
        <v>(50)</v>
      </c>
      <c r="K154" s="969">
        <f>K150</f>
        <v>0</v>
      </c>
      <c r="L154" s="970" t="str">
        <f>"(50)"</f>
        <v>(50)</v>
      </c>
      <c r="M154" s="98">
        <f>M150</f>
        <v>0</v>
      </c>
      <c r="N154" s="99" t="str">
        <f>"(50)"</f>
        <v>(50)</v>
      </c>
      <c r="O154" s="98">
        <f>O150</f>
        <v>119500</v>
      </c>
      <c r="P154" s="85" t="str">
        <f>"(50)"</f>
        <v>(50)</v>
      </c>
    </row>
    <row r="155" spans="2:16" ht="17" thickBot="1" x14ac:dyDescent="0.4">
      <c r="B155" s="1053"/>
      <c r="C155" s="1056"/>
      <c r="D155" s="1056"/>
      <c r="E155" s="1059"/>
      <c r="F155" s="1056"/>
      <c r="G155" s="985"/>
      <c r="H155" s="176"/>
      <c r="I155" s="123">
        <f>SUM(K155+M155+O155)</f>
        <v>122000</v>
      </c>
      <c r="J155" s="124" t="str">
        <f>"(55)"</f>
        <v>(55)</v>
      </c>
      <c r="K155" s="91">
        <f>SUM(K151*1.2)</f>
        <v>0</v>
      </c>
      <c r="L155" s="92" t="str">
        <f>"(55)"</f>
        <v>(55)</v>
      </c>
      <c r="M155" s="123">
        <f>SUM(M151*1.22)</f>
        <v>0</v>
      </c>
      <c r="N155" s="124" t="str">
        <f>"(55)"</f>
        <v>(55)</v>
      </c>
      <c r="O155" s="123">
        <f>SUM(O151*1.22)</f>
        <v>122000</v>
      </c>
      <c r="P155" s="94" t="str">
        <f>"(55)"</f>
        <v>(55)</v>
      </c>
    </row>
    <row r="156" spans="2:16" ht="16.5" x14ac:dyDescent="0.35">
      <c r="B156" s="1051" t="str">
        <f>'kuni 2025 detsember tegevuskava'!A61&amp;"/"&amp;'kuni 2025 detsember tegevuskava'!B61</f>
        <v>MKM/RIKS</v>
      </c>
      <c r="C156" s="1054" t="str">
        <f>'kuni 2025 detsember tegevuskava'!I61</f>
        <v>Puuduvad ühtsed juhtimispõhimõtted ja on vajadus selgete juhtrollide defineerimiseks, sh juhtide digipädevuste defineerimiseks,  et RIKS suudaks kiiremini reageerida digimuutustele ja kasutaksime töös kaasaegseid digitaalseid lahendusi, mis aitaksid juurutada andmete- ja teenusepõhise juhtimise</v>
      </c>
      <c r="D156" s="1054" t="str">
        <f>'kuni 2025 detsember tegevuskava'!J61</f>
        <v>RIKS juhtide arenguprogramm: juhtimispõhimõtete loomine ja juhtide digipädevuste kaardistamine 2024</v>
      </c>
      <c r="E156" s="1057" t="str">
        <f>'kuni 2025 detsember tegevuskava'!K61</f>
        <v xml:space="preserve">RIKS juhtimispõhimõtted, sh juhtrollid kokku lepitud ja nende digipädevused kaardistatud. </v>
      </c>
      <c r="F156" s="1054" t="str">
        <f>'kuni 2025 detsember tegevuskava'!P61&amp;"/"</f>
        <v>SF 21-27 (taotletav raha)/</v>
      </c>
      <c r="G156" s="984" cm="1">
        <f t="array" ref="G156">_xlfn.IFS('kuni 2025 detsember tegevuskava'!G61='kuni 2025 detsember tegevuskava'!$G$107,1,'kuni 2025 detsember tegevuskava'!G61='kuni 2025 detsember tegevuskava'!$G$108,2,'kuni 2025 detsember tegevuskava'!G61='kuni 2025 detsember tegevuskava'!$G$109,3,'kuni 2025 detsember tegevuskava'!G61='kuni 2025 detsember tegevuskava'!$G$110,4)</f>
        <v>3</v>
      </c>
      <c r="H156" s="177" cm="1">
        <f t="array" ref="H156">_xlfn.IFS(OR('kuni 2025 detsember tegevuskava'!P61='kuni 2025 detsember tegevuskava'!$P$107,'kuni 2025 detsember tegevuskava'!P61='kuni 2025 detsember tegevuskava'!$P$109,'kuni 2025 detsember tegevuskava'!P61='kuni 2025 detsember tegevuskava'!$P$110,'kuni 2025 detsember tegevuskava'!P61='kuni 2025 detsember tegevuskava'!$P$111),1,'kuni 2025 detsember tegevuskava'!P61='kuni 2025 detsember tegevuskava'!$P$112,2,'kuni 2025 detsember tegevuskava'!P61='kuni 2025 detsember tegevuskava'!$P$113,2,'kuni 2025 detsember tegevuskava'!P61='kuni 2025 detsember tegevuskava'!$P$108,3)</f>
        <v>2</v>
      </c>
      <c r="I156" s="125">
        <f>SUM(I157:I157)</f>
        <v>15000</v>
      </c>
      <c r="J156" s="126"/>
      <c r="K156" s="79">
        <f>SUM(K157:K157)</f>
        <v>0</v>
      </c>
      <c r="L156" s="81"/>
      <c r="M156" s="125">
        <f>SUM(M157:M157)</f>
        <v>15000</v>
      </c>
      <c r="N156" s="126"/>
      <c r="O156" s="79">
        <f>SUM(O157:O157)</f>
        <v>0</v>
      </c>
      <c r="P156" s="83"/>
    </row>
    <row r="157" spans="2:16" ht="16.5" x14ac:dyDescent="0.35">
      <c r="B157" s="1052"/>
      <c r="C157" s="1055"/>
      <c r="D157" s="1055"/>
      <c r="E157" s="1058"/>
      <c r="F157" s="1055"/>
      <c r="G157" s="983"/>
      <c r="H157" s="968"/>
      <c r="I157" s="100">
        <f>SUM(K157+M157+O157)</f>
        <v>15000</v>
      </c>
      <c r="J157" s="101" t="str">
        <f>"(55)"</f>
        <v>(55)</v>
      </c>
      <c r="K157" s="95">
        <f>'kuni 2025 detsember tegevuskava'!Z61</f>
        <v>0</v>
      </c>
      <c r="L157" s="86" t="str">
        <f>"(55)"</f>
        <v>(55)</v>
      </c>
      <c r="M157" s="100">
        <f>'kuni 2025 detsember tegevuskava'!AC61</f>
        <v>15000</v>
      </c>
      <c r="N157" s="101" t="str">
        <f>"(55)"</f>
        <v>(55)</v>
      </c>
      <c r="O157" s="95">
        <f>'kuni 2025 detsember tegevuskava'!AF61</f>
        <v>0</v>
      </c>
      <c r="P157" s="88" t="str">
        <f>"(55)"</f>
        <v>(55)</v>
      </c>
    </row>
    <row r="158" spans="2:16" ht="16.5" x14ac:dyDescent="0.35">
      <c r="B158" s="1052"/>
      <c r="C158" s="1055"/>
      <c r="D158" s="1055"/>
      <c r="E158" s="1058"/>
      <c r="F158" s="1055"/>
      <c r="G158" s="983"/>
      <c r="H158" s="968"/>
      <c r="I158" s="144" t="s">
        <v>569</v>
      </c>
      <c r="J158" s="8"/>
      <c r="K158" s="8"/>
      <c r="L158" s="8"/>
      <c r="M158" s="8"/>
      <c r="N158" s="8"/>
      <c r="O158" s="8"/>
      <c r="P158" s="152"/>
    </row>
    <row r="159" spans="2:16" ht="16.5" x14ac:dyDescent="0.35">
      <c r="B159" s="1052"/>
      <c r="C159" s="1055"/>
      <c r="D159" s="1055"/>
      <c r="E159" s="1058"/>
      <c r="F159" s="1055"/>
      <c r="G159" s="983"/>
      <c r="H159" s="968"/>
      <c r="I159" s="96">
        <f>SUM(I160:I160)</f>
        <v>18300</v>
      </c>
      <c r="J159" s="97"/>
      <c r="K159" s="89">
        <f>SUM(K160:K160)</f>
        <v>0</v>
      </c>
      <c r="L159" s="90"/>
      <c r="M159" s="96">
        <f>SUM(M160:M160)</f>
        <v>18300</v>
      </c>
      <c r="N159" s="102"/>
      <c r="O159" s="96">
        <f>SUM(O160:O160)</f>
        <v>0</v>
      </c>
      <c r="P159" s="127"/>
    </row>
    <row r="160" spans="2:16" ht="75" customHeight="1" thickBot="1" x14ac:dyDescent="0.4">
      <c r="B160" s="1053"/>
      <c r="C160" s="1056"/>
      <c r="D160" s="1056"/>
      <c r="E160" s="1059"/>
      <c r="F160" s="1056"/>
      <c r="G160" s="985"/>
      <c r="H160" s="176"/>
      <c r="I160" s="123">
        <f>SUM(K160+M160+O160)</f>
        <v>18300</v>
      </c>
      <c r="J160" s="124" t="str">
        <f>"(55)"</f>
        <v>(55)</v>
      </c>
      <c r="K160" s="91">
        <f>SUM(K157*1.2)</f>
        <v>0</v>
      </c>
      <c r="L160" s="92" t="str">
        <f>"(55)"</f>
        <v>(55)</v>
      </c>
      <c r="M160" s="123">
        <f>SUM(M157*1.22)</f>
        <v>18300</v>
      </c>
      <c r="N160" s="124" t="str">
        <f>"(55)"</f>
        <v>(55)</v>
      </c>
      <c r="O160" s="123">
        <f>SUM(O157*1.22)</f>
        <v>0</v>
      </c>
      <c r="P160" s="94" t="str">
        <f>"(55)"</f>
        <v>(55)</v>
      </c>
    </row>
    <row r="161" spans="2:16" ht="16.5" x14ac:dyDescent="0.35">
      <c r="B161" s="1051" t="str">
        <f>'kuni 2025 detsember tegevuskava'!A62&amp;"/"&amp;'kuni 2025 detsember tegevuskava'!B62</f>
        <v>MKM/MKM</v>
      </c>
      <c r="C161" s="1054" t="str">
        <f>'kuni 2025 detsember tegevuskava'!I62</f>
        <v xml:space="preserve">MKM kui digioskuste näidisasutus ei oska kasutada kasutuselolevaid Microsoft tööriistu ja uut tööplaani keskkonda Viva Goals. </v>
      </c>
      <c r="D161" s="1054" t="str">
        <f>'kuni 2025 detsember tegevuskava'!J62</f>
        <v>Microsofti keskkonna koolitused (sh tööplaani keskkond) MKM teenistujatele</v>
      </c>
      <c r="E161" s="1057" t="str">
        <f>'kuni 2025 detsember tegevuskava'!K62</f>
        <v xml:space="preserve">Koolituste tulemusena oskavad MKMi teenistujad kasutada Microsofti keskkondi paremini kasutada, oskavad täita tööplaani. Microsofti keskkonnale üleminek toetab teenus- ja andmepõhisele juhtimisele üleminekut. </v>
      </c>
      <c r="F161" s="1054" t="str">
        <f>'kuni 2025 detsember tegevuskava'!P62&amp;"/"</f>
        <v>SF 21-27 (taotletav raha)/</v>
      </c>
      <c r="G161" s="984" cm="1">
        <f t="array" ref="G161">_xlfn.IFS('kuni 2025 detsember tegevuskava'!G62='kuni 2025 detsember tegevuskava'!$G$107,1,'kuni 2025 detsember tegevuskava'!G62='kuni 2025 detsember tegevuskava'!$G$108,2,'kuni 2025 detsember tegevuskava'!G62='kuni 2025 detsember tegevuskava'!$G$109,3,'kuni 2025 detsember tegevuskava'!G62='kuni 2025 detsember tegevuskava'!$G$110,4)</f>
        <v>3</v>
      </c>
      <c r="H161" s="177" cm="1">
        <f t="array" ref="H161">_xlfn.IFS(OR('kuni 2025 detsember tegevuskava'!P62='kuni 2025 detsember tegevuskava'!$P$107,'kuni 2025 detsember tegevuskava'!P62='kuni 2025 detsember tegevuskava'!$P$109,'kuni 2025 detsember tegevuskava'!P62='kuni 2025 detsember tegevuskava'!$P$110,'kuni 2025 detsember tegevuskava'!P62='kuni 2025 detsember tegevuskava'!$P$111),1,'kuni 2025 detsember tegevuskava'!P62='kuni 2025 detsember tegevuskava'!$P$112,2,'kuni 2025 detsember tegevuskava'!P62='kuni 2025 detsember tegevuskava'!$P$113,2,'kuni 2025 detsember tegevuskava'!P62='kuni 2025 detsember tegevuskava'!$P$108,3)</f>
        <v>2</v>
      </c>
      <c r="I161" s="125">
        <f>SUM(I162:I162)</f>
        <v>45000</v>
      </c>
      <c r="J161" s="126"/>
      <c r="K161" s="79">
        <f>SUM(K162:K162)</f>
        <v>0</v>
      </c>
      <c r="L161" s="81"/>
      <c r="M161" s="125">
        <f>SUM(M162:M162)</f>
        <v>30000</v>
      </c>
      <c r="N161" s="126"/>
      <c r="O161" s="79">
        <f>SUM(O162:O162)</f>
        <v>15000</v>
      </c>
      <c r="P161" s="83"/>
    </row>
    <row r="162" spans="2:16" ht="16.5" x14ac:dyDescent="0.35">
      <c r="B162" s="1052"/>
      <c r="C162" s="1055"/>
      <c r="D162" s="1055"/>
      <c r="E162" s="1058"/>
      <c r="F162" s="1055"/>
      <c r="G162" s="983"/>
      <c r="H162" s="968"/>
      <c r="I162" s="100">
        <f>SUM(K162+M162+O162)</f>
        <v>45000</v>
      </c>
      <c r="J162" s="101" t="str">
        <f>"(55)"</f>
        <v>(55)</v>
      </c>
      <c r="K162" s="95">
        <f>'kuni 2025 detsember tegevuskava'!Z62</f>
        <v>0</v>
      </c>
      <c r="L162" s="86" t="str">
        <f>"(55)"</f>
        <v>(55)</v>
      </c>
      <c r="M162" s="100">
        <f>'kuni 2025 detsember tegevuskava'!AC62</f>
        <v>30000</v>
      </c>
      <c r="N162" s="101" t="str">
        <f>"(55)"</f>
        <v>(55)</v>
      </c>
      <c r="O162" s="95">
        <f>'kuni 2025 detsember tegevuskava'!AF62</f>
        <v>15000</v>
      </c>
      <c r="P162" s="88" t="str">
        <f>"(55)"</f>
        <v>(55)</v>
      </c>
    </row>
    <row r="163" spans="2:16" ht="16.5" x14ac:dyDescent="0.35">
      <c r="B163" s="1052"/>
      <c r="C163" s="1055"/>
      <c r="D163" s="1055"/>
      <c r="E163" s="1058"/>
      <c r="F163" s="1055"/>
      <c r="G163" s="983"/>
      <c r="H163" s="968"/>
      <c r="I163" s="144" t="s">
        <v>569</v>
      </c>
      <c r="J163" s="8"/>
      <c r="K163" s="8"/>
      <c r="L163" s="8"/>
      <c r="M163" s="8"/>
      <c r="N163" s="8"/>
      <c r="O163" s="8"/>
      <c r="P163" s="152"/>
    </row>
    <row r="164" spans="2:16" ht="16.5" x14ac:dyDescent="0.35">
      <c r="B164" s="1052"/>
      <c r="C164" s="1055"/>
      <c r="D164" s="1055"/>
      <c r="E164" s="1058"/>
      <c r="F164" s="1055"/>
      <c r="G164" s="983"/>
      <c r="H164" s="968"/>
      <c r="I164" s="96">
        <f>SUM(I165:I165)</f>
        <v>54900</v>
      </c>
      <c r="J164" s="171"/>
      <c r="K164" s="89">
        <f>SUM(K165:K165)</f>
        <v>0</v>
      </c>
      <c r="L164" s="90"/>
      <c r="M164" s="96">
        <f>SUM(M165:M165)</f>
        <v>36600</v>
      </c>
      <c r="N164" s="102"/>
      <c r="O164" s="96">
        <f>SUM(O165:O165)</f>
        <v>18300</v>
      </c>
      <c r="P164" s="127"/>
    </row>
    <row r="165" spans="2:16" ht="25.5" customHeight="1" thickBot="1" x14ac:dyDescent="0.4">
      <c r="B165" s="1053"/>
      <c r="C165" s="1056"/>
      <c r="D165" s="1056"/>
      <c r="E165" s="1059"/>
      <c r="F165" s="1056"/>
      <c r="G165" s="985"/>
      <c r="H165" s="176"/>
      <c r="I165" s="123">
        <f>SUM(K165+M165+O165)</f>
        <v>54900</v>
      </c>
      <c r="J165" s="124" t="str">
        <f>"(55)"</f>
        <v>(55)</v>
      </c>
      <c r="K165" s="91">
        <f>SUM(K162*1.2)</f>
        <v>0</v>
      </c>
      <c r="L165" s="92" t="str">
        <f>"(55)"</f>
        <v>(55)</v>
      </c>
      <c r="M165" s="123">
        <f>SUM(M162*1.22)</f>
        <v>36600</v>
      </c>
      <c r="N165" s="124" t="str">
        <f>"(55)"</f>
        <v>(55)</v>
      </c>
      <c r="O165" s="123">
        <f>SUM(O162*1.22)</f>
        <v>18300</v>
      </c>
      <c r="P165" s="94" t="str">
        <f>"(55)"</f>
        <v>(55)</v>
      </c>
    </row>
    <row r="166" spans="2:16" ht="16.5" x14ac:dyDescent="0.35">
      <c r="B166" s="1051" t="str">
        <f>'kuni 2025 detsember tegevuskava'!A63&amp;"/"&amp;'kuni 2025 detsember tegevuskava'!B63</f>
        <v>MKM/RIA</v>
      </c>
      <c r="C166" s="1054" t="str">
        <f>'kuni 2025 detsember tegevuskava'!I63</f>
        <v>Tootejuhid täidavad projektijuhtide ülesandeid pigem kui et jõuavad tegeleda tootejuhtimisega. Tootejuhid täna juhivad arendusmeeskondi, kirjutavad täismahus ise hankeid jne. Mis tähendab, et toote elukaare eest hoolitsemine on teisejärguline, kuna lihtsalt inimlikult ei jää aega üle arenduste juhtimise kõrvalt.</v>
      </c>
      <c r="D166" s="1054" t="str">
        <f>'kuni 2025 detsember tegevuskava'!J63</f>
        <v>eesti.ee arendusprotsessi toimimise tagamine, 2x tehniline projektijuhi FTE</v>
      </c>
      <c r="E166" s="1057" t="str">
        <f>'kuni 2025 detsember tegevuskava'!K63</f>
        <v>Nii toote elukaar on juhitud kui ka aktiivsed arendusprojektid.</v>
      </c>
      <c r="F166" s="1054" t="str">
        <f>'kuni 2025 detsember tegevuskava'!P63&amp;"/"</f>
        <v>RES IKT (vaja juurde taotleda)/</v>
      </c>
      <c r="G166" s="984" cm="1">
        <f t="array" ref="G166">_xlfn.IFS('kuni 2025 detsember tegevuskava'!G63='kuni 2025 detsember tegevuskava'!$G$107,1,'kuni 2025 detsember tegevuskava'!G63='kuni 2025 detsember tegevuskava'!$G$108,2,'kuni 2025 detsember tegevuskava'!G63='kuni 2025 detsember tegevuskava'!$G$109,3,'kuni 2025 detsember tegevuskava'!G63='kuni 2025 detsember tegevuskava'!$G$110,4)</f>
        <v>1</v>
      </c>
      <c r="H166" s="177" cm="1">
        <f t="array" ref="H166">_xlfn.IFS(OR('kuni 2025 detsember tegevuskava'!P63='kuni 2025 detsember tegevuskava'!$P$107,'kuni 2025 detsember tegevuskava'!P63='kuni 2025 detsember tegevuskava'!$P$109,'kuni 2025 detsember tegevuskava'!P63='kuni 2025 detsember tegevuskava'!$P$110,'kuni 2025 detsember tegevuskava'!P63='kuni 2025 detsember tegevuskava'!$P$111),1,'kuni 2025 detsember tegevuskava'!P63='kuni 2025 detsember tegevuskava'!$P$112,2,'kuni 2025 detsember tegevuskava'!P63='kuni 2025 detsember tegevuskava'!$P$113,2,'kuni 2025 detsember tegevuskava'!P63='kuni 2025 detsember tegevuskava'!$P$108,3)</f>
        <v>1</v>
      </c>
      <c r="I166" s="125">
        <f>SUM(I167:I167)</f>
        <v>52500</v>
      </c>
      <c r="J166" s="126"/>
      <c r="K166" s="79">
        <f>SUM(K167:K167)</f>
        <v>0</v>
      </c>
      <c r="L166" s="81"/>
      <c r="M166" s="125">
        <f>SUM(M167:M167)</f>
        <v>0</v>
      </c>
      <c r="N166" s="126"/>
      <c r="O166" s="79">
        <f>SUM(O167:O167)</f>
        <v>52500</v>
      </c>
      <c r="P166" s="83"/>
    </row>
    <row r="167" spans="2:16" ht="16.5" x14ac:dyDescent="0.35">
      <c r="B167" s="1052"/>
      <c r="C167" s="1055"/>
      <c r="D167" s="1055"/>
      <c r="E167" s="1058"/>
      <c r="F167" s="1055"/>
      <c r="G167" s="983"/>
      <c r="H167" s="968"/>
      <c r="I167" s="98">
        <f>SUM(K167+M167+O167)</f>
        <v>52500</v>
      </c>
      <c r="J167" s="99" t="str">
        <f>"(50)"</f>
        <v>(50)</v>
      </c>
      <c r="K167" s="969">
        <f>'kuni 2025 detsember tegevuskava'!Y63</f>
        <v>0</v>
      </c>
      <c r="L167" s="970" t="str">
        <f>"(50)"</f>
        <v>(50)</v>
      </c>
      <c r="M167" s="98">
        <f>'kuni 2025 detsember tegevuskava'!AB63</f>
        <v>0</v>
      </c>
      <c r="N167" s="99" t="str">
        <f>"(50)"</f>
        <v>(50)</v>
      </c>
      <c r="O167" s="969">
        <f>'kuni 2025 detsember tegevuskava'!AE63</f>
        <v>52500</v>
      </c>
      <c r="P167" s="85" t="str">
        <f>"(50)"</f>
        <v>(50)</v>
      </c>
    </row>
    <row r="168" spans="2:16" ht="16.5" x14ac:dyDescent="0.35">
      <c r="B168" s="1052"/>
      <c r="C168" s="1055"/>
      <c r="D168" s="1055"/>
      <c r="E168" s="1058"/>
      <c r="F168" s="1055"/>
      <c r="G168" s="983"/>
      <c r="H168" s="968"/>
      <c r="I168" s="172" t="s">
        <v>569</v>
      </c>
      <c r="J168" s="178"/>
      <c r="K168" s="178"/>
      <c r="L168" s="178"/>
      <c r="M168" s="178"/>
      <c r="N168" s="178"/>
      <c r="O168" s="178"/>
      <c r="P168" s="179"/>
    </row>
    <row r="169" spans="2:16" ht="16.5" x14ac:dyDescent="0.35">
      <c r="B169" s="1052"/>
      <c r="C169" s="1055"/>
      <c r="D169" s="1055"/>
      <c r="E169" s="1058"/>
      <c r="F169" s="1055"/>
      <c r="G169" s="983"/>
      <c r="H169" s="968"/>
      <c r="I169" s="977">
        <f>SUM(I170:I170)</f>
        <v>52500</v>
      </c>
      <c r="J169" s="907"/>
      <c r="K169" s="978">
        <f>SUM(K170:K170)</f>
        <v>0</v>
      </c>
      <c r="L169" s="979"/>
      <c r="M169" s="977">
        <f>SUM(M170:M170)</f>
        <v>0</v>
      </c>
      <c r="N169" s="907"/>
      <c r="O169" s="977">
        <f>SUM(O170:O170)</f>
        <v>52500</v>
      </c>
      <c r="P169" s="152"/>
    </row>
    <row r="170" spans="2:16" ht="63.65" customHeight="1" thickBot="1" x14ac:dyDescent="0.4">
      <c r="B170" s="1053"/>
      <c r="C170" s="1056"/>
      <c r="D170" s="1056"/>
      <c r="E170" s="1059"/>
      <c r="F170" s="1056"/>
      <c r="G170" s="985"/>
      <c r="H170" s="176"/>
      <c r="I170" s="988">
        <f>SUM(K170+M170+O170)</f>
        <v>52500</v>
      </c>
      <c r="J170" s="989" t="str">
        <f>"(50)"</f>
        <v>(50)</v>
      </c>
      <c r="K170" s="990">
        <f>'kuni 2025 detsember tegevuskava'!Y63</f>
        <v>0</v>
      </c>
      <c r="L170" s="153" t="str">
        <f>"(50)"</f>
        <v>(50)</v>
      </c>
      <c r="M170" s="988">
        <f>M167</f>
        <v>0</v>
      </c>
      <c r="N170" s="989" t="str">
        <f>"(50)"</f>
        <v>(50)</v>
      </c>
      <c r="O170" s="988">
        <f>O167</f>
        <v>52500</v>
      </c>
      <c r="P170" s="991" t="str">
        <f>"(50)"</f>
        <v>(50)</v>
      </c>
    </row>
    <row r="171" spans="2:16" ht="16.5" x14ac:dyDescent="0.35">
      <c r="B171" s="1052" t="str">
        <f>'kuni 2025 detsember tegevuskava'!A67&amp;"/"&amp;'kuni 2025 detsember tegevuskava'!B67</f>
        <v>MKM/RIA</v>
      </c>
      <c r="C171" s="1055" t="str">
        <f>'kuni 2025 detsember tegevuskava'!I67</f>
        <v>Eesti ja Euroopa küberturvalisuse kompetents on fragmenteerunud, spetsialiste on puudu, teadlased ja ettevõtjad tegutsevad suuresti oma silodes, turul pole teenusepakkujate vahelist konkurentsi ning võrreldavaid teenuseid, küberiduettevõtted kaovad digi-idude vahele ära. Tulevikutehnoloogiate turvalisusega tegeletakse alles tagantjärgi ning tihti loodetakse välisele (sh ELi-välisele) kompetentsile, kust tellida küberturvalisuse teenuseid (koolitusi, uuringuid, ohuteavet, praktilist konsultatsiooni). Euroopa küberturvalisuse kompetentsikeskuse ja riiklike koordineerimisüksuste (mille rolli täidab RIA) võrgustik lahendab probleemi Euroopa-üleselt. Euroopa küberkompetentsikeskus on valmis riiklikke koordineerimisüksuseid edaspidigi toetama (2025+), riigieelarvelise omaosaluse olemasolul. Et Eesti koordineerimisüksus saaks täita ELi regulatsioonist tulenevaid ülesandeid ja Eesti küberkompetents kasvaks, on vaja täiendavat püsirahastust-omaosalust aastateks 2025+</v>
      </c>
      <c r="D171" s="1055" t="str">
        <f>'kuni 2025 detsember tegevuskava'!J67</f>
        <v>Euroopa küberkompetentsikeskuse Eesti koordinatsioonikeskuse jätkusuutlikkuse tagamise tegevus (omaosalus ELi projektist 50% taotlemisel)</v>
      </c>
      <c r="E171" s="1058" t="str">
        <f>'kuni 2025 detsember tegevuskava'!K67</f>
        <v>Vajadus on 2025-2028. Kululiigid: personalikulu, toetused kolmandatele osapooltele (küberpööre EASiga, küberiduettevõtted), koolitused ja treeningud, teadmussiirdeprojektid, ürituste korraldamise kulu. Tulemuseks järgmised sihid, et senisest enam ettevõtteid pakub ja tarbib küberturvalisuse teenuseid; digitaliseerivatel ja uusi tehnoloogiaid rakendavatel ettevõtetel on juhendeid turvalisuse osas; et senisest enam naisi ja tüdrukuid osaleb küberturvalisuse õppes (spetsialistidest kuni juhtideni), et võtmetähtsusega mitte-IT valdkondade väljaõppes (ärijuhid, ettevõtjad, õpetajad, avaliku halduse, sotsiaalia, aga ka loomemajanduse ja põllumajanduse spetsialistid) on integreeritud küberturvalisuse õpiväljundid, et senisest enam konverteeritakse küberturvalisuse akadeemilise teadustöö tulemeid iduettevõtete teenusteks ja toodeteks, et senisest enam Eesti ettevõtteid ja teadusasutusi osaleb küberturvalisuse Euroopa projektivoorudes ning on sealt saanud positiivse rahastusotsuse</v>
      </c>
      <c r="F171" s="1055" t="str">
        <f>'kuni 2025 detsember tegevuskava'!P67&amp;"/"</f>
        <v>Muu rahastus/</v>
      </c>
      <c r="G171" s="983" cm="1">
        <f t="array" ref="G171">_xlfn.IFS('kuni 2025 detsember tegevuskava'!G67='kuni 2025 detsember tegevuskava'!$G$107,1,'kuni 2025 detsember tegevuskava'!G67='kuni 2025 detsember tegevuskava'!$G$108,2,'kuni 2025 detsember tegevuskava'!G67='kuni 2025 detsember tegevuskava'!$G$109,3,'kuni 2025 detsember tegevuskava'!G67='kuni 2025 detsember tegevuskava'!$G$110,4)</f>
        <v>2</v>
      </c>
      <c r="H171" s="968" cm="1">
        <f t="array" ref="H171">_xlfn.IFS(OR('kuni 2025 detsember tegevuskava'!P67='kuni 2025 detsember tegevuskava'!$P$107,'kuni 2025 detsember tegevuskava'!P67='kuni 2025 detsember tegevuskava'!$P$109,'kuni 2025 detsember tegevuskava'!P67='kuni 2025 detsember tegevuskava'!$P$110,'kuni 2025 detsember tegevuskava'!P67='kuni 2025 detsember tegevuskava'!$P$111),1,'kuni 2025 detsember tegevuskava'!P67='kuni 2025 detsember tegevuskava'!$P$112,2,'kuni 2025 detsember tegevuskava'!P67='kuni 2025 detsember tegevuskava'!$P$113,2,'kuni 2025 detsember tegevuskava'!P67='kuni 2025 detsember tegevuskava'!$P$108,3)</f>
        <v>3</v>
      </c>
      <c r="I171" s="980">
        <f>SUM(I172:I173)</f>
        <v>683625</v>
      </c>
      <c r="J171" s="891"/>
      <c r="K171" s="981">
        <f>SUM(K172:K173)</f>
        <v>0</v>
      </c>
      <c r="L171" s="982"/>
      <c r="M171" s="980">
        <f>SUM(M172:M173)</f>
        <v>0</v>
      </c>
      <c r="N171" s="891"/>
      <c r="O171" s="981">
        <f>SUM(O172:O173)</f>
        <v>683625</v>
      </c>
      <c r="P171" s="892"/>
    </row>
    <row r="172" spans="2:16" ht="16.5" x14ac:dyDescent="0.35">
      <c r="B172" s="1052"/>
      <c r="C172" s="1055"/>
      <c r="D172" s="1055"/>
      <c r="E172" s="1058"/>
      <c r="F172" s="1055"/>
      <c r="G172" s="983"/>
      <c r="H172" s="968"/>
      <c r="I172" s="890">
        <f>SUM(K172+M172+O172)</f>
        <v>171000</v>
      </c>
      <c r="J172" s="891" t="str">
        <f>"(50)"</f>
        <v>(50)</v>
      </c>
      <c r="K172" s="986">
        <f>'kuni 2025 detsember tegevuskava'!Y67</f>
        <v>0</v>
      </c>
      <c r="L172" s="987" t="str">
        <f>"(50)"</f>
        <v>(50)</v>
      </c>
      <c r="M172" s="890">
        <f>'kuni 2025 detsember tegevuskava'!AB67</f>
        <v>0</v>
      </c>
      <c r="N172" s="891" t="str">
        <f>"(50)"</f>
        <v>(50)</v>
      </c>
      <c r="O172" s="986">
        <f>'kuni 2025 detsember tegevuskava'!AE67</f>
        <v>171000</v>
      </c>
      <c r="P172" s="892" t="str">
        <f>"(50)"</f>
        <v>(50)</v>
      </c>
    </row>
    <row r="173" spans="2:16" ht="16.5" x14ac:dyDescent="0.35">
      <c r="B173" s="1052"/>
      <c r="C173" s="1055"/>
      <c r="D173" s="1055"/>
      <c r="E173" s="1058"/>
      <c r="F173" s="1055"/>
      <c r="G173" s="983"/>
      <c r="H173" s="968"/>
      <c r="I173" s="893">
        <f>SUM(K173+M173+O173)</f>
        <v>512625</v>
      </c>
      <c r="J173" s="894" t="str">
        <f>"(55)"</f>
        <v>(55)</v>
      </c>
      <c r="K173" s="895">
        <f>'kuni 2025 detsember tegevuskava'!Z67</f>
        <v>0</v>
      </c>
      <c r="L173" s="896" t="str">
        <f>"(55)"</f>
        <v>(55)</v>
      </c>
      <c r="M173" s="893">
        <f>'kuni 2025 detsember tegevuskava'!AC67</f>
        <v>0</v>
      </c>
      <c r="N173" s="894" t="str">
        <f>"(55)"</f>
        <v>(55)</v>
      </c>
      <c r="O173" s="895">
        <f>'kuni 2025 detsember tegevuskava'!AF67</f>
        <v>512625</v>
      </c>
      <c r="P173" s="897" t="str">
        <f>"(55)"</f>
        <v>(55)</v>
      </c>
    </row>
    <row r="174" spans="2:16" ht="16.5" x14ac:dyDescent="0.35">
      <c r="B174" s="1052"/>
      <c r="C174" s="1055"/>
      <c r="D174" s="1055"/>
      <c r="E174" s="1058"/>
      <c r="F174" s="1055"/>
      <c r="G174" s="983"/>
      <c r="H174" s="968"/>
      <c r="I174" s="144" t="s">
        <v>569</v>
      </c>
      <c r="J174" s="8"/>
      <c r="K174" s="8"/>
      <c r="L174" s="8"/>
      <c r="M174" s="8"/>
      <c r="N174" s="8"/>
      <c r="O174" s="8"/>
      <c r="P174" s="152"/>
    </row>
    <row r="175" spans="2:16" ht="16.5" x14ac:dyDescent="0.35">
      <c r="B175" s="1052"/>
      <c r="C175" s="1055"/>
      <c r="D175" s="1055"/>
      <c r="E175" s="1058"/>
      <c r="F175" s="1055"/>
      <c r="G175" s="983"/>
      <c r="H175" s="968"/>
      <c r="I175" s="898">
        <f>SUM(I176:I177)</f>
        <v>796402.5</v>
      </c>
      <c r="J175" s="899"/>
      <c r="K175" s="900">
        <f>SUM(K176:K177)</f>
        <v>0</v>
      </c>
      <c r="L175" s="901"/>
      <c r="M175" s="898">
        <f>SUM(M176:M177)</f>
        <v>0</v>
      </c>
      <c r="N175" s="102"/>
      <c r="O175" s="898">
        <f>SUM(O176:O177)</f>
        <v>796402.5</v>
      </c>
      <c r="P175" s="127"/>
    </row>
    <row r="176" spans="2:16" ht="329.4" customHeight="1" x14ac:dyDescent="0.35">
      <c r="B176" s="1052"/>
      <c r="C176" s="1055"/>
      <c r="D176" s="1055"/>
      <c r="E176" s="1058"/>
      <c r="F176" s="1055"/>
      <c r="G176" s="983"/>
      <c r="H176" s="968"/>
      <c r="I176" s="890">
        <f>SUM(K176+M176+O176)</f>
        <v>171000</v>
      </c>
      <c r="J176" s="891" t="str">
        <f>"(50)"</f>
        <v>(50)</v>
      </c>
      <c r="K176" s="986">
        <f>K172</f>
        <v>0</v>
      </c>
      <c r="L176" s="987" t="str">
        <f>"(50)"</f>
        <v>(50)</v>
      </c>
      <c r="M176" s="890">
        <f>M172</f>
        <v>0</v>
      </c>
      <c r="N176" s="891" t="str">
        <f>"(50)"</f>
        <v>(50)</v>
      </c>
      <c r="O176" s="890">
        <f>O172</f>
        <v>171000</v>
      </c>
      <c r="P176" s="892" t="str">
        <f>"(50)"</f>
        <v>(50)</v>
      </c>
    </row>
    <row r="177" spans="2:16" ht="1.5" customHeight="1" thickBot="1" x14ac:dyDescent="0.4">
      <c r="B177" s="1053"/>
      <c r="C177" s="1056"/>
      <c r="D177" s="1056"/>
      <c r="E177" s="1059"/>
      <c r="F177" s="1056"/>
      <c r="G177" s="985"/>
      <c r="H177" s="176"/>
      <c r="I177" s="902">
        <f>SUM(K177+M177+O177)</f>
        <v>625402.5</v>
      </c>
      <c r="J177" s="903" t="str">
        <f>"(55)"</f>
        <v>(55)</v>
      </c>
      <c r="K177" s="904">
        <f>SUM(K173*1.2)</f>
        <v>0</v>
      </c>
      <c r="L177" s="905" t="str">
        <f>"(55)"</f>
        <v>(55)</v>
      </c>
      <c r="M177" s="902">
        <f>SUM(M173*1.22)</f>
        <v>0</v>
      </c>
      <c r="N177" s="903" t="str">
        <f>"(55)"</f>
        <v>(55)</v>
      </c>
      <c r="O177" s="902">
        <f>SUM(O173*1.22)</f>
        <v>625402.5</v>
      </c>
      <c r="P177" s="906" t="str">
        <f>"(55)"</f>
        <v>(55)</v>
      </c>
    </row>
    <row r="178" spans="2:16" ht="16.5" x14ac:dyDescent="0.35">
      <c r="B178" s="1051" t="str">
        <f>'kuni 2025 detsember tegevuskava'!A70&amp;"/"&amp;'kuni 2025 detsember tegevuskava'!B70</f>
        <v>MKM/RIA</v>
      </c>
      <c r="C178" s="1054" t="str">
        <f>'kuni 2025 detsember tegevuskava'!I70</f>
        <v xml:space="preserve">Tänane võimekus ei ole piisav RS-süsteemide haldamiseks ei tava- ega kriisiolukorras. </v>
      </c>
      <c r="D178" s="1054" t="str">
        <f>'kuni 2025 detsember tegevuskava'!J70</f>
        <v>Kriisivalmiduse tagamine RS-süsteemides</v>
      </c>
      <c r="E178" s="1057" t="str">
        <f>'kuni 2025 detsember tegevuskava'!K70</f>
        <v>• Tekib 24/7 võimekus kriisihalduseks lühikese perioodi vältel.
• Töötlussüsteemid on hallatud, intsidente ei esine.
• Tagatud on RIA kui küberturvalisuse kompetentsikeskuse töö kriisiolukorras, sh operatiivinfo vahetamine partneritega.</v>
      </c>
      <c r="F178" s="1054" t="str">
        <f>'kuni 2025 detsember tegevuskava'!P70&amp;"/"</f>
        <v>RES IKT (vaja juurde taotleda)/</v>
      </c>
      <c r="G178" s="984" cm="1">
        <f t="array" ref="G178">_xlfn.IFS('kuni 2025 detsember tegevuskava'!G70='kuni 2025 detsember tegevuskava'!$G$107,1,'kuni 2025 detsember tegevuskava'!G70='kuni 2025 detsember tegevuskava'!$G$108,2,'kuni 2025 detsember tegevuskava'!G70='kuni 2025 detsember tegevuskava'!$G$109,3,'kuni 2025 detsember tegevuskava'!G70='kuni 2025 detsember tegevuskava'!$G$110,4)</f>
        <v>2</v>
      </c>
      <c r="H178" s="177" cm="1">
        <f t="array" ref="H178">_xlfn.IFS(OR('kuni 2025 detsember tegevuskava'!P70='kuni 2025 detsember tegevuskava'!$P$107,'kuni 2025 detsember tegevuskava'!P70='kuni 2025 detsember tegevuskava'!$P$109,'kuni 2025 detsember tegevuskava'!P70='kuni 2025 detsember tegevuskava'!$P$110,'kuni 2025 detsember tegevuskava'!P70='kuni 2025 detsember tegevuskava'!$P$111),1,'kuni 2025 detsember tegevuskava'!P70='kuni 2025 detsember tegevuskava'!$P$112,2,'kuni 2025 detsember tegevuskava'!P70='kuni 2025 detsember tegevuskava'!$P$113,2,'kuni 2025 detsember tegevuskava'!P70='kuni 2025 detsember tegevuskava'!$P$108,3)</f>
        <v>1</v>
      </c>
      <c r="I178" s="885">
        <f>SUM(I179:I179)</f>
        <v>222750</v>
      </c>
      <c r="J178" s="886"/>
      <c r="K178" s="887">
        <f>SUM(K179:K179)</f>
        <v>0</v>
      </c>
      <c r="L178" s="888"/>
      <c r="M178" s="885">
        <f>SUM(M179:M179)</f>
        <v>0</v>
      </c>
      <c r="N178" s="886"/>
      <c r="O178" s="887">
        <f>SUM(O179:O179)</f>
        <v>222750</v>
      </c>
      <c r="P178" s="889"/>
    </row>
    <row r="179" spans="2:16" ht="16.5" x14ac:dyDescent="0.35">
      <c r="B179" s="1052"/>
      <c r="C179" s="1055"/>
      <c r="D179" s="1055"/>
      <c r="E179" s="1058"/>
      <c r="F179" s="1055"/>
      <c r="G179" s="983"/>
      <c r="H179" s="968"/>
      <c r="I179" s="890">
        <f>SUM(K179+M179+O179)</f>
        <v>222750</v>
      </c>
      <c r="J179" s="891" t="str">
        <f>"(50)"</f>
        <v>(50)</v>
      </c>
      <c r="K179" s="986">
        <f>'kuni 2025 detsember tegevuskava'!Y70</f>
        <v>0</v>
      </c>
      <c r="L179" s="987" t="str">
        <f>"(50)"</f>
        <v>(50)</v>
      </c>
      <c r="M179" s="890">
        <f>'kuni 2025 detsember tegevuskava'!AB70</f>
        <v>0</v>
      </c>
      <c r="N179" s="891" t="str">
        <f>"(50)"</f>
        <v>(50)</v>
      </c>
      <c r="O179" s="986">
        <f>'kuni 2025 detsember tegevuskava'!AE70</f>
        <v>222750</v>
      </c>
      <c r="P179" s="892" t="str">
        <f>"(50)"</f>
        <v>(50)</v>
      </c>
    </row>
    <row r="180" spans="2:16" ht="16.5" x14ac:dyDescent="0.35">
      <c r="B180" s="1052"/>
      <c r="C180" s="1055"/>
      <c r="D180" s="1055"/>
      <c r="E180" s="1058"/>
      <c r="F180" s="1055"/>
      <c r="G180" s="983"/>
      <c r="H180" s="968"/>
      <c r="I180" s="172" t="s">
        <v>569</v>
      </c>
      <c r="J180" s="178"/>
      <c r="K180" s="178"/>
      <c r="L180" s="178"/>
      <c r="M180" s="178"/>
      <c r="N180" s="178"/>
      <c r="O180" s="178"/>
      <c r="P180" s="179"/>
    </row>
    <row r="181" spans="2:16" ht="16.5" x14ac:dyDescent="0.35">
      <c r="B181" s="1052"/>
      <c r="C181" s="1055"/>
      <c r="D181" s="1055"/>
      <c r="E181" s="1058"/>
      <c r="F181" s="1055"/>
      <c r="G181" s="983"/>
      <c r="H181" s="968"/>
      <c r="I181" s="980">
        <f>SUM(I182:I182)</f>
        <v>222750</v>
      </c>
      <c r="J181" s="891"/>
      <c r="K181" s="981">
        <f>SUM(K182:K182)</f>
        <v>0</v>
      </c>
      <c r="L181" s="982"/>
      <c r="M181" s="980">
        <f>SUM(M182:M182)</f>
        <v>0</v>
      </c>
      <c r="N181" s="159"/>
      <c r="O181" s="980">
        <f>SUM(O182:O182)</f>
        <v>222750</v>
      </c>
      <c r="P181" s="67"/>
    </row>
    <row r="182" spans="2:16" ht="52.5" customHeight="1" thickBot="1" x14ac:dyDescent="0.4">
      <c r="B182" s="1053"/>
      <c r="C182" s="1056"/>
      <c r="D182" s="1056"/>
      <c r="E182" s="1059"/>
      <c r="F182" s="1056"/>
      <c r="G182" s="985"/>
      <c r="H182" s="176"/>
      <c r="I182" s="902">
        <f>SUM(K182+M182+O182)</f>
        <v>222750</v>
      </c>
      <c r="J182" s="903" t="str">
        <f>"(50)"</f>
        <v>(50)</v>
      </c>
      <c r="K182" s="904">
        <f>K179</f>
        <v>0</v>
      </c>
      <c r="L182" s="905" t="str">
        <f>"(50)"</f>
        <v>(50)</v>
      </c>
      <c r="M182" s="902">
        <f>M179</f>
        <v>0</v>
      </c>
      <c r="N182" s="903" t="str">
        <f>"(50)"</f>
        <v>(50)</v>
      </c>
      <c r="O182" s="902">
        <f>O179</f>
        <v>222750</v>
      </c>
      <c r="P182" s="906" t="str">
        <f>"(50)"</f>
        <v>(50)</v>
      </c>
    </row>
    <row r="183" spans="2:16" ht="16.5" x14ac:dyDescent="0.35">
      <c r="B183" s="1051" t="str">
        <f>'kuni 2025 detsember tegevuskava'!A77&amp;"/"&amp;'kuni 2025 detsember tegevuskava'!B77</f>
        <v>MKM/DAO</v>
      </c>
      <c r="C183" s="1054" t="str">
        <f>'kuni 2025 detsember tegevuskava'!I77</f>
        <v xml:space="preserve">SF rahastusest väljumine. Riigiasutused ja kohalikud omavalitsused on loonud teenistujate ning laiema avalikkuse koolitamise eesmärgil e-kursuseid, mis vajavad kättesaadavuseks veebiplatvormi. Keskse ning turvalist autentimist võimaldava platvormi olemasolu aitab hoida kokku ressursse, mis vastasel juhul kuluks sarnaste platvormide paralleelsele ülalhoiule asutuste poolt. Kui iga asutus looks eraldiseisva e-õppe platvormi, siis hinnanguline kulu aastas asutuse kohta oleks 40 000 eurot aastas. (Liitunuid asutusi 6, 2024 liituda soovijaid 7). Rahastuse puudumisel tuleb keskkond sulgeda, mis toob olemasolevate e-kursuste ümberkolimise vajaduse, kuid riigiülese platvormi puudumisel ei ole kursuseid kuhugi majutada. Lisaks olemasolevate e-kursuste majutamise probleemile tuleb taas hakata rohkem klassiruumi koolitusi korraldama, mis ei ole kuluefektiivne. </v>
      </c>
      <c r="D183" s="1054" t="str">
        <f>'kuni 2025 detsember tegevuskava'!J77</f>
        <v>Digiriigi Akadeemia kui avaliku sektori keskse e-õppe platvormi ülalhoid ning käideldavuse parandamine</v>
      </c>
      <c r="E183" s="1057" t="str">
        <f>'kuni 2025 detsember tegevuskava'!K77</f>
        <v xml:space="preserve">2025-2028 - varem SF-st arendatu ülalhoid ning hooldamine (platvormi hoolduse täisteenus ühelt IT-majalt, sh server, Kubernetes, kasutajalitsentsid e-kursuste loomiseks, tootejuhi, süsteemiadministraatori, klienditoe spetsialisti ja arendaja palgafond). Planeeritud tegevused võimaldavad tagada platvormi käideldavuse ja kvaliteedi kasvava kliendibaasi tingimustes (lisanduvad asutused ning kasutajad). Läbi ressursside kokkuhoiu, paindlikkuse ja strateegiliselt oluliste teadmiste koondamise, toetab Digiriigi Akadeemia ühtse standardi abil avaliku sektori töötajate arendamist. </v>
      </c>
      <c r="F183" s="1054" t="str">
        <f>'kuni 2025 detsember tegevuskava'!P77&amp;"/"</f>
        <v>RES IKT (vaja juurde taotleda)/</v>
      </c>
      <c r="G183" s="984" cm="1">
        <f t="array" ref="G183">_xlfn.IFS('kuni 2025 detsember tegevuskava'!G77='kuni 2025 detsember tegevuskava'!$G$107,1,'kuni 2025 detsember tegevuskava'!G77='kuni 2025 detsember tegevuskava'!$G$108,2,'kuni 2025 detsember tegevuskava'!G77='kuni 2025 detsember tegevuskava'!$G$109,3,'kuni 2025 detsember tegevuskava'!G77='kuni 2025 detsember tegevuskava'!$G$110,4)</f>
        <v>3</v>
      </c>
      <c r="H183" s="177" cm="1">
        <f t="array" ref="H183">_xlfn.IFS(OR('kuni 2025 detsember tegevuskava'!P77='kuni 2025 detsember tegevuskava'!$P$107,'kuni 2025 detsember tegevuskava'!P77='kuni 2025 detsember tegevuskava'!$P$109,'kuni 2025 detsember tegevuskava'!P77='kuni 2025 detsember tegevuskava'!$P$110,'kuni 2025 detsember tegevuskava'!P77='kuni 2025 detsember tegevuskava'!$P$111),1,'kuni 2025 detsember tegevuskava'!P77='kuni 2025 detsember tegevuskava'!$P$112,2,'kuni 2025 detsember tegevuskava'!P77='kuni 2025 detsember tegevuskava'!$P$113,2,'kuni 2025 detsember tegevuskava'!P77='kuni 2025 detsember tegevuskava'!$P$108,3)</f>
        <v>1</v>
      </c>
      <c r="I183" s="125">
        <f>SUM(I184:I186)</f>
        <v>150944</v>
      </c>
      <c r="J183" s="126"/>
      <c r="K183" s="79">
        <f>SUM(K184:K186)</f>
        <v>0</v>
      </c>
      <c r="L183" s="81"/>
      <c r="M183" s="125">
        <f>SUM(M184:M186)</f>
        <v>0</v>
      </c>
      <c r="N183" s="126"/>
      <c r="O183" s="79">
        <f>SUM(O184:O186)</f>
        <v>150944</v>
      </c>
      <c r="P183" s="83"/>
    </row>
    <row r="184" spans="2:16" ht="16.5" x14ac:dyDescent="0.35">
      <c r="B184" s="1052"/>
      <c r="C184" s="1055"/>
      <c r="D184" s="1055"/>
      <c r="E184" s="1058"/>
      <c r="F184" s="1055"/>
      <c r="G184" s="983"/>
      <c r="H184" s="968"/>
      <c r="I184" s="98">
        <f>SUM(K184+M184+O184)</f>
        <v>0</v>
      </c>
      <c r="J184" s="99" t="str">
        <f>"(15)"</f>
        <v>(15)</v>
      </c>
      <c r="K184" s="969">
        <f>'kuni 2025 detsember tegevuskava'!X77</f>
        <v>0</v>
      </c>
      <c r="L184" s="970" t="str">
        <f>"(15)"</f>
        <v>(15)</v>
      </c>
      <c r="M184" s="98">
        <f>'kuni 2025 detsember tegevuskava'!AA77</f>
        <v>0</v>
      </c>
      <c r="N184" s="99" t="str">
        <f>"(15)"</f>
        <v>(15)</v>
      </c>
      <c r="O184" s="969">
        <f>'kuni 2025 detsember tegevuskava'!AD77</f>
        <v>0</v>
      </c>
      <c r="P184" s="85" t="str">
        <f>"(15)"</f>
        <v>(15)</v>
      </c>
    </row>
    <row r="185" spans="2:16" ht="16.5" x14ac:dyDescent="0.35">
      <c r="B185" s="1052"/>
      <c r="C185" s="1055"/>
      <c r="D185" s="1055"/>
      <c r="E185" s="1058"/>
      <c r="F185" s="1055"/>
      <c r="G185" s="983"/>
      <c r="H185" s="968"/>
      <c r="I185" s="98">
        <f>SUM(K185+M185+O185)</f>
        <v>74904</v>
      </c>
      <c r="J185" s="99" t="str">
        <f>"(50)"</f>
        <v>(50)</v>
      </c>
      <c r="K185" s="969">
        <f>'kuni 2025 detsember tegevuskava'!Y77</f>
        <v>0</v>
      </c>
      <c r="L185" s="970" t="str">
        <f>"(50)"</f>
        <v>(50)</v>
      </c>
      <c r="M185" s="98">
        <f>'kuni 2025 detsember tegevuskava'!AB77</f>
        <v>0</v>
      </c>
      <c r="N185" s="99" t="str">
        <f>"(50)"</f>
        <v>(50)</v>
      </c>
      <c r="O185" s="969">
        <f>'kuni 2025 detsember tegevuskava'!AE77</f>
        <v>74904</v>
      </c>
      <c r="P185" s="85" t="str">
        <f>"(50)"</f>
        <v>(50)</v>
      </c>
    </row>
    <row r="186" spans="2:16" ht="16.5" x14ac:dyDescent="0.35">
      <c r="B186" s="1052"/>
      <c r="C186" s="1055"/>
      <c r="D186" s="1055"/>
      <c r="E186" s="1058"/>
      <c r="F186" s="1055"/>
      <c r="G186" s="983"/>
      <c r="H186" s="968"/>
      <c r="I186" s="100">
        <f>SUM(K186+M186+O186)</f>
        <v>76040</v>
      </c>
      <c r="J186" s="101" t="str">
        <f>"(55)"</f>
        <v>(55)</v>
      </c>
      <c r="K186" s="95">
        <f>'kuni 2025 detsember tegevuskava'!Z77</f>
        <v>0</v>
      </c>
      <c r="L186" s="86" t="str">
        <f>"(55)"</f>
        <v>(55)</v>
      </c>
      <c r="M186" s="100">
        <f>'kuni 2025 detsember tegevuskava'!AC77</f>
        <v>0</v>
      </c>
      <c r="N186" s="101" t="str">
        <f>"(55)"</f>
        <v>(55)</v>
      </c>
      <c r="O186" s="95">
        <f>'kuni 2025 detsember tegevuskava'!AF77</f>
        <v>76040</v>
      </c>
      <c r="P186" s="88" t="str">
        <f>"(55)"</f>
        <v>(55)</v>
      </c>
    </row>
    <row r="187" spans="2:16" ht="16.5" x14ac:dyDescent="0.35">
      <c r="B187" s="1052"/>
      <c r="C187" s="1055"/>
      <c r="D187" s="1055"/>
      <c r="E187" s="1058"/>
      <c r="F187" s="1055"/>
      <c r="G187" s="983"/>
      <c r="H187" s="968"/>
      <c r="I187" s="144" t="s">
        <v>569</v>
      </c>
      <c r="J187" s="8"/>
      <c r="K187" s="8"/>
      <c r="L187" s="8"/>
      <c r="M187" s="8"/>
      <c r="N187" s="8"/>
      <c r="O187" s="8"/>
      <c r="P187" s="152"/>
    </row>
    <row r="188" spans="2:16" ht="16.5" x14ac:dyDescent="0.35">
      <c r="B188" s="1052"/>
      <c r="C188" s="1055"/>
      <c r="D188" s="1055"/>
      <c r="E188" s="1058"/>
      <c r="F188" s="1055"/>
      <c r="G188" s="983"/>
      <c r="H188" s="968"/>
      <c r="I188" s="96">
        <f>SUM(I189:I191)</f>
        <v>167672.79999999999</v>
      </c>
      <c r="J188" s="97"/>
      <c r="K188" s="89">
        <f>SUM(K189:K191)</f>
        <v>0</v>
      </c>
      <c r="L188" s="90"/>
      <c r="M188" s="96">
        <f>SUM(M189:M191)</f>
        <v>0</v>
      </c>
      <c r="N188" s="102"/>
      <c r="O188" s="96">
        <f>SUM(O189:O191)</f>
        <v>167672.79999999999</v>
      </c>
      <c r="P188" s="127"/>
    </row>
    <row r="189" spans="2:16" ht="16.5" x14ac:dyDescent="0.35">
      <c r="B189" s="1052"/>
      <c r="C189" s="1055"/>
      <c r="D189" s="1055"/>
      <c r="E189" s="1058"/>
      <c r="F189" s="1055"/>
      <c r="G189" s="983"/>
      <c r="H189" s="968"/>
      <c r="I189" s="98">
        <f>SUM(K189+M189+O189)</f>
        <v>0</v>
      </c>
      <c r="J189" s="99" t="str">
        <f>"(15)"</f>
        <v>(15)</v>
      </c>
      <c r="K189" s="969">
        <f>SUM(K184*1.2)</f>
        <v>0</v>
      </c>
      <c r="L189" s="970" t="str">
        <f>"(15)"</f>
        <v>(15)</v>
      </c>
      <c r="M189" s="98">
        <f>SUM(M184*1.22)</f>
        <v>0</v>
      </c>
      <c r="N189" s="99" t="str">
        <f>"(15)"</f>
        <v>(15)</v>
      </c>
      <c r="O189" s="98">
        <f>SUM(O184*1.22)</f>
        <v>0</v>
      </c>
      <c r="P189" s="85" t="str">
        <f>"(15)"</f>
        <v>(15)</v>
      </c>
    </row>
    <row r="190" spans="2:16" ht="16.5" x14ac:dyDescent="0.35">
      <c r="B190" s="1052"/>
      <c r="C190" s="1055"/>
      <c r="D190" s="1055"/>
      <c r="E190" s="1058"/>
      <c r="F190" s="1055"/>
      <c r="G190" s="983"/>
      <c r="H190" s="968"/>
      <c r="I190" s="98">
        <f>SUM(K190+M190+O190)</f>
        <v>74904</v>
      </c>
      <c r="J190" s="99" t="str">
        <f>"(50)"</f>
        <v>(50)</v>
      </c>
      <c r="K190" s="969">
        <f>K185</f>
        <v>0</v>
      </c>
      <c r="L190" s="970" t="str">
        <f>"(50)"</f>
        <v>(50)</v>
      </c>
      <c r="M190" s="98">
        <f>M185</f>
        <v>0</v>
      </c>
      <c r="N190" s="99" t="str">
        <f>"(50)"</f>
        <v>(50)</v>
      </c>
      <c r="O190" s="98">
        <f>O185</f>
        <v>74904</v>
      </c>
      <c r="P190" s="85" t="str">
        <f>"(50)"</f>
        <v>(50)</v>
      </c>
    </row>
    <row r="191" spans="2:16" ht="254.4" customHeight="1" thickBot="1" x14ac:dyDescent="0.4">
      <c r="B191" s="1053"/>
      <c r="C191" s="1056"/>
      <c r="D191" s="1056"/>
      <c r="E191" s="1059"/>
      <c r="F191" s="1056"/>
      <c r="G191" s="985"/>
      <c r="H191" s="176"/>
      <c r="I191" s="123">
        <f>SUM(K191+M191+O191)</f>
        <v>92768.8</v>
      </c>
      <c r="J191" s="124" t="str">
        <f>"(55)"</f>
        <v>(55)</v>
      </c>
      <c r="K191" s="91">
        <f>SUM(K186*1.2)</f>
        <v>0</v>
      </c>
      <c r="L191" s="92" t="str">
        <f>"(55)"</f>
        <v>(55)</v>
      </c>
      <c r="M191" s="123">
        <f>SUM(M186*1.22)</f>
        <v>0</v>
      </c>
      <c r="N191" s="124" t="str">
        <f>"(55)"</f>
        <v>(55)</v>
      </c>
      <c r="O191" s="123">
        <f>SUM(O186*1.22)</f>
        <v>92768.8</v>
      </c>
      <c r="P191" s="94" t="str">
        <f>"(55)"</f>
        <v>(55)</v>
      </c>
    </row>
    <row r="192" spans="2:16" ht="16.5" x14ac:dyDescent="0.35">
      <c r="B192" s="1051" t="str">
        <f>'kuni 2025 detsember tegevuskava'!A79&amp;"/"&amp;'kuni 2025 detsember tegevuskava'!B79</f>
        <v>MKM/RKO</v>
      </c>
      <c r="C192" s="1054" t="str">
        <f>'kuni 2025 detsember tegevuskava'!I79</f>
        <v>Rahastuse puudumisel võib tekkida olukord, kus küberturvalisuse strateegiad ja otsused tuginevad pelgalt isiklikele arvamustele, mitte põhjalikele teaduslikele uuringutele ja analüüsidele. RRFi rahastusest väljumine: Vajadus on hoida silma peal edaspidigi uutel tehnoloogiatel, uutel ohtudel ja nende jaoks vajalikke meetmeid rakendada</v>
      </c>
      <c r="D192" s="1054" t="str">
        <f>'kuni 2025 detsember tegevuskava'!J79</f>
        <v xml:space="preserve">Riigisektori seisukohalt strateegiliselt oluliste uuringute ja analüüside tellimine, et tagada valdkonna süsteemne areng </v>
      </c>
      <c r="E192" s="1057" t="str">
        <f>'kuni 2025 detsember tegevuskava'!K79</f>
        <v>Riigisektoril on kõrge teadlikkus uusimatest tehnoloogiatest, uutest ohtudest ja vajalikest meetmetest ohtude maandamiseks.</v>
      </c>
      <c r="F192" s="1054" t="str">
        <f>'kuni 2025 detsember tegevuskava'!P79&amp;"/"</f>
        <v>RES IKT (vaja juurde taotleda)/</v>
      </c>
      <c r="G192" s="984" cm="1">
        <f t="array" ref="G192">_xlfn.IFS('kuni 2025 detsember tegevuskava'!G79='kuni 2025 detsember tegevuskava'!$G$107,1,'kuni 2025 detsember tegevuskava'!G79='kuni 2025 detsember tegevuskava'!$G$108,2,'kuni 2025 detsember tegevuskava'!G79='kuni 2025 detsember tegevuskava'!$G$109,3,'kuni 2025 detsember tegevuskava'!G79='kuni 2025 detsember tegevuskava'!$G$110,4)</f>
        <v>2</v>
      </c>
      <c r="H192" s="177" cm="1">
        <f t="array" ref="H192">_xlfn.IFS(OR('kuni 2025 detsember tegevuskava'!P79='kuni 2025 detsember tegevuskava'!$P$107,'kuni 2025 detsember tegevuskava'!P79='kuni 2025 detsember tegevuskava'!$P$109,'kuni 2025 detsember tegevuskava'!P79='kuni 2025 detsember tegevuskava'!$P$110,'kuni 2025 detsember tegevuskava'!P79='kuni 2025 detsember tegevuskava'!$P$111),1,'kuni 2025 detsember tegevuskava'!P79='kuni 2025 detsember tegevuskava'!$P$112,2,'kuni 2025 detsember tegevuskava'!P79='kuni 2025 detsember tegevuskava'!$P$113,2,'kuni 2025 detsember tegevuskava'!P79='kuni 2025 detsember tegevuskava'!$P$108,3)</f>
        <v>1</v>
      </c>
      <c r="I192" s="125">
        <f>SUM(I193:I193)</f>
        <v>100000</v>
      </c>
      <c r="J192" s="126"/>
      <c r="K192" s="79">
        <f>SUM(K193:K193)</f>
        <v>0</v>
      </c>
      <c r="L192" s="81"/>
      <c r="M192" s="125">
        <f>SUM(M193:M193)</f>
        <v>0</v>
      </c>
      <c r="N192" s="126"/>
      <c r="O192" s="79">
        <f>SUM(O193:O193)</f>
        <v>100000</v>
      </c>
      <c r="P192" s="83"/>
    </row>
    <row r="193" spans="2:16" ht="16.5" x14ac:dyDescent="0.35">
      <c r="B193" s="1052"/>
      <c r="C193" s="1055"/>
      <c r="D193" s="1055"/>
      <c r="E193" s="1058"/>
      <c r="F193" s="1055"/>
      <c r="G193" s="983"/>
      <c r="H193" s="968"/>
      <c r="I193" s="100">
        <f>SUM(K193+M193+O193)</f>
        <v>100000</v>
      </c>
      <c r="J193" s="101" t="str">
        <f>"(55)"</f>
        <v>(55)</v>
      </c>
      <c r="K193" s="95">
        <f>'kuni 2025 detsember tegevuskava'!Z79</f>
        <v>0</v>
      </c>
      <c r="L193" s="86" t="str">
        <f>"(55)"</f>
        <v>(55)</v>
      </c>
      <c r="M193" s="100">
        <f>'kuni 2025 detsember tegevuskava'!AC79</f>
        <v>0</v>
      </c>
      <c r="N193" s="101" t="str">
        <f>"(55)"</f>
        <v>(55)</v>
      </c>
      <c r="O193" s="95">
        <f>'kuni 2025 detsember tegevuskava'!AF79</f>
        <v>100000</v>
      </c>
      <c r="P193" s="88" t="str">
        <f>"(55)"</f>
        <v>(55)</v>
      </c>
    </row>
    <row r="194" spans="2:16" ht="16.5" x14ac:dyDescent="0.35">
      <c r="B194" s="1052"/>
      <c r="C194" s="1055"/>
      <c r="D194" s="1055"/>
      <c r="E194" s="1058"/>
      <c r="F194" s="1055"/>
      <c r="G194" s="983"/>
      <c r="H194" s="968"/>
      <c r="I194" s="144" t="s">
        <v>569</v>
      </c>
      <c r="J194" s="8"/>
      <c r="K194" s="8"/>
      <c r="L194" s="8"/>
      <c r="M194" s="8"/>
      <c r="N194" s="8"/>
      <c r="O194" s="8"/>
      <c r="P194" s="152"/>
    </row>
    <row r="195" spans="2:16" ht="16.5" x14ac:dyDescent="0.35">
      <c r="B195" s="1052"/>
      <c r="C195" s="1055"/>
      <c r="D195" s="1055"/>
      <c r="E195" s="1058"/>
      <c r="F195" s="1055"/>
      <c r="G195" s="983"/>
      <c r="H195" s="968"/>
      <c r="I195" s="96">
        <f>SUM(I196:I196)</f>
        <v>122000</v>
      </c>
      <c r="J195" s="97"/>
      <c r="K195" s="89">
        <f>SUM(K196:K196)</f>
        <v>0</v>
      </c>
      <c r="L195" s="90"/>
      <c r="M195" s="96">
        <f>SUM(M196:M196)</f>
        <v>0</v>
      </c>
      <c r="N195" s="102"/>
      <c r="O195" s="96">
        <f>SUM(O196:O196)</f>
        <v>122000</v>
      </c>
      <c r="P195" s="127"/>
    </row>
    <row r="196" spans="2:16" ht="100.5" customHeight="1" thickBot="1" x14ac:dyDescent="0.4">
      <c r="B196" s="1053"/>
      <c r="C196" s="1056"/>
      <c r="D196" s="1056"/>
      <c r="E196" s="1059"/>
      <c r="F196" s="1056"/>
      <c r="G196" s="985"/>
      <c r="H196" s="176"/>
      <c r="I196" s="123">
        <f>SUM(K196+M196+O196)</f>
        <v>122000</v>
      </c>
      <c r="J196" s="124" t="str">
        <f>"(55)"</f>
        <v>(55)</v>
      </c>
      <c r="K196" s="91">
        <f>SUM(K193*1.2)</f>
        <v>0</v>
      </c>
      <c r="L196" s="92" t="str">
        <f>"(55)"</f>
        <v>(55)</v>
      </c>
      <c r="M196" s="123">
        <f>SUM(M193*1.22)</f>
        <v>0</v>
      </c>
      <c r="N196" s="124" t="str">
        <f>"(55)"</f>
        <v>(55)</v>
      </c>
      <c r="O196" s="123">
        <f>SUM(O193*1.22)</f>
        <v>122000</v>
      </c>
      <c r="P196" s="94" t="str">
        <f>"(55)"</f>
        <v>(55)</v>
      </c>
    </row>
    <row r="197" spans="2:16" ht="16.5" x14ac:dyDescent="0.35">
      <c r="B197" s="1051" t="str">
        <f>'kuni 2025 detsember tegevuskava'!A80&amp;"/"&amp;'kuni 2025 detsember tegevuskava'!B80</f>
        <v>MKM/RKO</v>
      </c>
      <c r="C197" s="1054" t="str">
        <f>'kuni 2025 detsember tegevuskava'!I80</f>
        <v>Rahastuse puudumisel ei pruugi digitaliseerimisega seotud riskid piisavalt maandatud saama. RRFi rahastusest väljumine: vajadus on parandada avaliku sektori, sh KOVide, teadlikkust riski- ja turbejuhtimisest</v>
      </c>
      <c r="D197" s="1054" t="str">
        <f>'kuni 2025 detsember tegevuskava'!J80</f>
        <v>Töötoad või koolitused avalikule sektorile, sh KOVidele, riski- ja turbejuhtimise tõhustamiseks, varukoopiate taastamise testimiseks</v>
      </c>
      <c r="E197" s="1057" t="str">
        <f>'kuni 2025 detsember tegevuskava'!K80</f>
        <v>Digitaliseerimisega seotud riskid on maandatud</v>
      </c>
      <c r="F197" s="1054" t="str">
        <f>'kuni 2025 detsember tegevuskava'!P80&amp;"/"</f>
        <v>RES IKT (vaja juurde taotleda)/</v>
      </c>
      <c r="G197" s="984" cm="1">
        <f t="array" ref="G197">_xlfn.IFS('kuni 2025 detsember tegevuskava'!G80='kuni 2025 detsember tegevuskava'!$G$107,1,'kuni 2025 detsember tegevuskava'!G80='kuni 2025 detsember tegevuskava'!$G$108,2,'kuni 2025 detsember tegevuskava'!G80='kuni 2025 detsember tegevuskava'!$G$109,3,'kuni 2025 detsember tegevuskava'!G80='kuni 2025 detsember tegevuskava'!$G$110,4)</f>
        <v>2</v>
      </c>
      <c r="H197" s="177" cm="1">
        <f t="array" ref="H197">_xlfn.IFS(OR('kuni 2025 detsember tegevuskava'!P80='kuni 2025 detsember tegevuskava'!$P$107,'kuni 2025 detsember tegevuskava'!P80='kuni 2025 detsember tegevuskava'!$P$109,'kuni 2025 detsember tegevuskava'!P80='kuni 2025 detsember tegevuskava'!$P$110,'kuni 2025 detsember tegevuskava'!P80='kuni 2025 detsember tegevuskava'!$P$111),1,'kuni 2025 detsember tegevuskava'!P80='kuni 2025 detsember tegevuskava'!$P$112,2,'kuni 2025 detsember tegevuskava'!P80='kuni 2025 detsember tegevuskava'!$P$113,2,'kuni 2025 detsember tegevuskava'!P80='kuni 2025 detsember tegevuskava'!$P$108,3)</f>
        <v>1</v>
      </c>
      <c r="I197" s="125">
        <f>SUM(I198:I198)</f>
        <v>25000</v>
      </c>
      <c r="J197" s="126"/>
      <c r="K197" s="79">
        <f>SUM(K198:K198)</f>
        <v>0</v>
      </c>
      <c r="L197" s="81"/>
      <c r="M197" s="125">
        <f>SUM(M198:M198)</f>
        <v>0</v>
      </c>
      <c r="N197" s="126"/>
      <c r="O197" s="79">
        <f>SUM(O198:O198)</f>
        <v>25000</v>
      </c>
      <c r="P197" s="83"/>
    </row>
    <row r="198" spans="2:16" ht="16.5" x14ac:dyDescent="0.35">
      <c r="B198" s="1052"/>
      <c r="C198" s="1055"/>
      <c r="D198" s="1055"/>
      <c r="E198" s="1058"/>
      <c r="F198" s="1055"/>
      <c r="G198" s="983"/>
      <c r="H198" s="968"/>
      <c r="I198" s="100">
        <f>SUM(K198+M198+O198)</f>
        <v>25000</v>
      </c>
      <c r="J198" s="101" t="str">
        <f>"(55)"</f>
        <v>(55)</v>
      </c>
      <c r="K198" s="95">
        <f>'kuni 2025 detsember tegevuskava'!Z80</f>
        <v>0</v>
      </c>
      <c r="L198" s="86" t="str">
        <f>"(55)"</f>
        <v>(55)</v>
      </c>
      <c r="M198" s="100">
        <f>'kuni 2025 detsember tegevuskava'!AC80</f>
        <v>0</v>
      </c>
      <c r="N198" s="101" t="str">
        <f>"(55)"</f>
        <v>(55)</v>
      </c>
      <c r="O198" s="95">
        <f>'kuni 2025 detsember tegevuskava'!AF80</f>
        <v>25000</v>
      </c>
      <c r="P198" s="88" t="str">
        <f>"(55)"</f>
        <v>(55)</v>
      </c>
    </row>
    <row r="199" spans="2:16" ht="16.5" x14ac:dyDescent="0.35">
      <c r="B199" s="1052"/>
      <c r="C199" s="1055"/>
      <c r="D199" s="1055"/>
      <c r="E199" s="1058"/>
      <c r="F199" s="1055"/>
      <c r="G199" s="983"/>
      <c r="H199" s="968"/>
      <c r="I199" s="144" t="s">
        <v>569</v>
      </c>
      <c r="J199" s="8"/>
      <c r="K199" s="8"/>
      <c r="L199" s="8"/>
      <c r="M199" s="8"/>
      <c r="N199" s="8"/>
      <c r="O199" s="8"/>
      <c r="P199" s="152"/>
    </row>
    <row r="200" spans="2:16" ht="16.5" x14ac:dyDescent="0.35">
      <c r="B200" s="1052"/>
      <c r="C200" s="1055"/>
      <c r="D200" s="1055"/>
      <c r="E200" s="1058"/>
      <c r="F200" s="1055"/>
      <c r="G200" s="983"/>
      <c r="H200" s="968"/>
      <c r="I200" s="96">
        <f>SUM(I201:I201)</f>
        <v>30500</v>
      </c>
      <c r="J200" s="97"/>
      <c r="K200" s="89">
        <f>SUM(K201:K201)</f>
        <v>0</v>
      </c>
      <c r="L200" s="90"/>
      <c r="M200" s="96">
        <f>SUM(M201:M201)</f>
        <v>0</v>
      </c>
      <c r="N200" s="102"/>
      <c r="O200" s="96">
        <f>SUM(O201:O201)</f>
        <v>30500</v>
      </c>
      <c r="P200" s="127"/>
    </row>
    <row r="201" spans="2:16" ht="46.75" customHeight="1" thickBot="1" x14ac:dyDescent="0.4">
      <c r="B201" s="1053"/>
      <c r="C201" s="1056"/>
      <c r="D201" s="1056"/>
      <c r="E201" s="1059"/>
      <c r="F201" s="1056"/>
      <c r="G201" s="985"/>
      <c r="H201" s="176"/>
      <c r="I201" s="123">
        <f>SUM(K201+M201+O201)</f>
        <v>30500</v>
      </c>
      <c r="J201" s="124" t="str">
        <f>"(55)"</f>
        <v>(55)</v>
      </c>
      <c r="K201" s="91">
        <f>SUM(K198*1.2)</f>
        <v>0</v>
      </c>
      <c r="L201" s="92" t="str">
        <f>"(55)"</f>
        <v>(55)</v>
      </c>
      <c r="M201" s="123">
        <f>SUM(M198*1.22)</f>
        <v>0</v>
      </c>
      <c r="N201" s="124" t="str">
        <f>"(55)"</f>
        <v>(55)</v>
      </c>
      <c r="O201" s="123">
        <f>SUM(O198*1.22)</f>
        <v>30500</v>
      </c>
      <c r="P201" s="94" t="str">
        <f>"(55)"</f>
        <v>(55)</v>
      </c>
    </row>
    <row r="202" spans="2:16" ht="16.5" x14ac:dyDescent="0.35">
      <c r="B202" s="1051" t="str">
        <f>'kuni 2025 detsember tegevuskava'!A81&amp;"/"&amp;'kuni 2025 detsember tegevuskava'!B81</f>
        <v>MKM/RKO</v>
      </c>
      <c r="C202" s="1054" t="str">
        <f>'kuni 2025 detsember tegevuskava'!I81</f>
        <v>Rahastuse puudumisel MKM RKO enam proaktiivse lähenemisega tulevikutehnoloogiate, tehnoloogiliste ohtude hindamise, tehnoloogiliste riskide halduse korraldamisega riigis, küber- ja riikliku ohupildi loomisega, arendustegevuste/uuringute lähteülesannete ja seisukohtade võtmisega ei tegele kuna puuduvad inimesed. Võib tekkida olukord, kus küberturvalisuse strateegiad ja otsused tuginevad pelgalt isiklikele arvamustele, mitte põhjalikele teaduslikele uuringutele ja analüüsidele, samuti ei ole EL-i teemad piisaval määral ülevõetud siseriiklikul tasemel. Näiteks EL tasemel kehtestatakse sertifitseerimisskeem, mis võib Eestis arendatud ja kasutusele võetud digitoote või üldse laiemalt EE “digiökosüsteemi” mitte sobivaks muuta (nt ID-kaartide sertifikaadid ja eIDAS teema). Osalisel rahastusel tuleb valida, millega riigiüleselt tegeletakse ja millega mitte.</v>
      </c>
      <c r="D202" s="1054" t="str">
        <f>'kuni 2025 detsember tegevuskava'!J81</f>
        <v xml:space="preserve">Proaktiivne valdkonna juhtimine, sh tehnoloogiate, ohtude hindamine, sh tulevikutehnoloogiate uuringute, analüüside jm projektijuhtimine, tehnoloogiliste meetmete väljatöötamine, infoturbearengu seire, küpsushindamine, kriisijuhtimise tugi. </v>
      </c>
      <c r="E202" s="1057" t="str">
        <f>'kuni 2025 detsember tegevuskava'!K81</f>
        <v xml:space="preserve">Proaktiivne valdkonna juhtimine, mis tagab digiteenuste turvalist arendamist ja kasutuselevõtmist. Tehnoloogiliste ohtude hindamine, tehnoloogiliste riskide halduse korraldamine riigis, küber- ja riikliku ohupildi loomine ja võimeid adresseerivate tehnoloogiliste meetmete väljatöötamine,  infoturbe arengu seire ja küpsushindamine, kriisijuhtimise tugi. Proaktiivne lähenemine küberturvalisuse strateegiate loomiseks, tulevikukindluse tagamiseks, mis põhineb põhjalikel teaduslikel uuringutel ja analüüsidel, juhendmaterjalide ja analüüside läbiviimise tugi. </v>
      </c>
      <c r="F202" s="1054" t="str">
        <f>'kuni 2025 detsember tegevuskava'!P81&amp;"/"</f>
        <v>RES IKT (vaja juurde taotleda)/</v>
      </c>
      <c r="G202" s="984" cm="1">
        <f t="array" ref="G202">_xlfn.IFS('kuni 2025 detsember tegevuskava'!G81='kuni 2025 detsember tegevuskava'!$G$107,1,'kuni 2025 detsember tegevuskava'!G81='kuni 2025 detsember tegevuskava'!$G$108,2,'kuni 2025 detsember tegevuskava'!G81='kuni 2025 detsember tegevuskava'!$G$109,3,'kuni 2025 detsember tegevuskava'!G81='kuni 2025 detsember tegevuskava'!$G$110,4)</f>
        <v>2</v>
      </c>
      <c r="H202" s="177" cm="1">
        <f t="array" ref="H202">_xlfn.IFS(OR('kuni 2025 detsember tegevuskava'!P81='kuni 2025 detsember tegevuskava'!$P$107,'kuni 2025 detsember tegevuskava'!P81='kuni 2025 detsember tegevuskava'!$P$109,'kuni 2025 detsember tegevuskava'!P81='kuni 2025 detsember tegevuskava'!$P$110,'kuni 2025 detsember tegevuskava'!P81='kuni 2025 detsember tegevuskava'!$P$111),1,'kuni 2025 detsember tegevuskava'!P81='kuni 2025 detsember tegevuskava'!$P$112,2,'kuni 2025 detsember tegevuskava'!P81='kuni 2025 detsember tegevuskava'!$P$113,2,'kuni 2025 detsember tegevuskava'!P81='kuni 2025 detsember tegevuskava'!$P$108,3)</f>
        <v>1</v>
      </c>
      <c r="I202" s="125">
        <f>SUM(I203:I203)</f>
        <v>150000</v>
      </c>
      <c r="J202" s="126"/>
      <c r="K202" s="79">
        <f>SUM(K203:K203)</f>
        <v>0</v>
      </c>
      <c r="L202" s="81"/>
      <c r="M202" s="125">
        <f>SUM(M203:M203)</f>
        <v>0</v>
      </c>
      <c r="N202" s="126"/>
      <c r="O202" s="79">
        <f>SUM(O203:O203)</f>
        <v>150000</v>
      </c>
      <c r="P202" s="83"/>
    </row>
    <row r="203" spans="2:16" ht="16.5" x14ac:dyDescent="0.35">
      <c r="B203" s="1052"/>
      <c r="C203" s="1055"/>
      <c r="D203" s="1055"/>
      <c r="E203" s="1058"/>
      <c r="F203" s="1055"/>
      <c r="G203" s="983"/>
      <c r="H203" s="968"/>
      <c r="I203" s="98">
        <f>SUM(K203+M203+O203)</f>
        <v>150000</v>
      </c>
      <c r="J203" s="99" t="str">
        <f>"(50)"</f>
        <v>(50)</v>
      </c>
      <c r="K203" s="969">
        <f>'kuni 2025 detsember tegevuskava'!Y81</f>
        <v>0</v>
      </c>
      <c r="L203" s="970" t="str">
        <f>"(50)"</f>
        <v>(50)</v>
      </c>
      <c r="M203" s="98">
        <f>'kuni 2025 detsember tegevuskava'!AB81</f>
        <v>0</v>
      </c>
      <c r="N203" s="99" t="str">
        <f>"(50)"</f>
        <v>(50)</v>
      </c>
      <c r="O203" s="969">
        <f>'kuni 2025 detsember tegevuskava'!AE81</f>
        <v>150000</v>
      </c>
      <c r="P203" s="85" t="str">
        <f>"(50)"</f>
        <v>(50)</v>
      </c>
    </row>
    <row r="204" spans="2:16" ht="16.5" x14ac:dyDescent="0.35">
      <c r="B204" s="1052"/>
      <c r="C204" s="1055"/>
      <c r="D204" s="1055"/>
      <c r="E204" s="1058"/>
      <c r="F204" s="1055"/>
      <c r="G204" s="983"/>
      <c r="H204" s="968"/>
      <c r="I204" s="172" t="s">
        <v>569</v>
      </c>
      <c r="J204" s="178"/>
      <c r="K204" s="178"/>
      <c r="L204" s="178"/>
      <c r="M204" s="178"/>
      <c r="N204" s="178"/>
      <c r="O204" s="178"/>
      <c r="P204" s="179"/>
    </row>
    <row r="205" spans="2:16" ht="16.5" x14ac:dyDescent="0.35">
      <c r="B205" s="1052"/>
      <c r="C205" s="1055"/>
      <c r="D205" s="1055"/>
      <c r="E205" s="1058"/>
      <c r="F205" s="1055"/>
      <c r="G205" s="983"/>
      <c r="H205" s="968"/>
      <c r="I205" s="168">
        <f>SUM(I206:I206)</f>
        <v>150000</v>
      </c>
      <c r="J205" s="99"/>
      <c r="K205" s="974">
        <f>SUM(K206:K206)</f>
        <v>0</v>
      </c>
      <c r="L205" s="976"/>
      <c r="M205" s="168">
        <f>SUM(M206:M206)</f>
        <v>0</v>
      </c>
      <c r="N205" s="159"/>
      <c r="O205" s="168">
        <f>SUM(O206:O206)</f>
        <v>150000</v>
      </c>
      <c r="P205" s="67"/>
    </row>
    <row r="206" spans="2:16" ht="319.75" customHeight="1" thickBot="1" x14ac:dyDescent="0.4">
      <c r="B206" s="1053"/>
      <c r="C206" s="1056"/>
      <c r="D206" s="1056"/>
      <c r="E206" s="1059"/>
      <c r="F206" s="1056"/>
      <c r="G206" s="985"/>
      <c r="H206" s="176"/>
      <c r="I206" s="123">
        <f>SUM(K206+M206+O206)</f>
        <v>150000</v>
      </c>
      <c r="J206" s="124" t="str">
        <f>"(50)"</f>
        <v>(50)</v>
      </c>
      <c r="K206" s="91">
        <f>K203</f>
        <v>0</v>
      </c>
      <c r="L206" s="92" t="str">
        <f>"(50)"</f>
        <v>(50)</v>
      </c>
      <c r="M206" s="123">
        <f>M203</f>
        <v>0</v>
      </c>
      <c r="N206" s="124" t="str">
        <f>"(50)"</f>
        <v>(50)</v>
      </c>
      <c r="O206" s="123">
        <f>O203</f>
        <v>150000</v>
      </c>
      <c r="P206" s="94" t="str">
        <f>"(50)"</f>
        <v>(50)</v>
      </c>
    </row>
    <row r="207" spans="2:16" ht="16.5" x14ac:dyDescent="0.35">
      <c r="B207" s="1052" t="str">
        <f>'kuni 2025 detsember tegevuskava'!A82&amp;"/"&amp;'kuni 2025 detsember tegevuskava'!B82</f>
        <v>MKM/DAO</v>
      </c>
      <c r="C207" s="1055" t="str">
        <f>'kuni 2025 detsember tegevuskava'!I82</f>
        <v>Andmesaatkonna rendikulud koos elektriga on MKM kanda. Kuna ettenähtud eelarvest jäi puudu MKM-il 2023, siis 2024 saime ühekordselt raha juurde, aga tulevikuks oleks vaja püsikulude katmiseks tõsta olemasolevat eelarvet. Kulu suureneb, kuna elektrihind on läinud aastatega kallimaks ja lisaks paigaldatakse 2024 aasta rohkem riistvra saatkonna ruumidesse, mis kõiks tarbivad voolu. Andmesaatkonna teenuse kulusid teistelt haldusaladelt ei küsita ja seda makstakse MKM poolt keskselt kinni.
Mis juhtub, kui raha ei saa - Riistvara on ostetud eurorahade eest ja peab olema töös veel järgnevad viis aastat. Kui me ei suuda maksta halduskulusi näiteks elektri arveid, ei saa ka teenused püsti olla nende serverite peal.</v>
      </c>
      <c r="D207" s="1055" t="str">
        <f>'kuni 2025 detsember tegevuskava'!J82</f>
        <v>Andmesaatkonna püsikulude suurendamiseks kulude kate</v>
      </c>
      <c r="E207" s="1058" t="str">
        <f>'kuni 2025 detsember tegevuskava'!K82</f>
        <v>Andmesaatkonnal toimub 2024 oluline riistvra suurendamine, mis tähendab, et põüsikulud kasvavad. Seadmed tarbivad rohkem vool näiteks.</v>
      </c>
      <c r="F207" s="1055" t="str">
        <f>'kuni 2025 detsember tegevuskava'!P82&amp;"/"</f>
        <v>RES IKT (vaja juurde taotleda)/</v>
      </c>
      <c r="G207" s="983" cm="1">
        <f t="array" ref="G207">_xlfn.IFS('kuni 2025 detsember tegevuskava'!G82='kuni 2025 detsember tegevuskava'!$G$107,1,'kuni 2025 detsember tegevuskava'!G82='kuni 2025 detsember tegevuskava'!$G$108,2,'kuni 2025 detsember tegevuskava'!G82='kuni 2025 detsember tegevuskava'!$G$109,3,'kuni 2025 detsember tegevuskava'!G82='kuni 2025 detsember tegevuskava'!$G$110,4)</f>
        <v>1</v>
      </c>
      <c r="H207" s="968" cm="1">
        <f t="array" ref="H207">_xlfn.IFS(OR('kuni 2025 detsember tegevuskava'!P82='kuni 2025 detsember tegevuskava'!$P$107,'kuni 2025 detsember tegevuskava'!P82='kuni 2025 detsember tegevuskava'!$P$109,'kuni 2025 detsember tegevuskava'!P82='kuni 2025 detsember tegevuskava'!$P$110,'kuni 2025 detsember tegevuskava'!P82='kuni 2025 detsember tegevuskava'!$P$111),1,'kuni 2025 detsember tegevuskava'!P82='kuni 2025 detsember tegevuskava'!$P$112,2,'kuni 2025 detsember tegevuskava'!P82='kuni 2025 detsember tegevuskava'!$P$113,2,'kuni 2025 detsember tegevuskava'!P82='kuni 2025 detsember tegevuskava'!$P$108,3)</f>
        <v>1</v>
      </c>
      <c r="I207" s="168">
        <f>SUM(I208:I208)</f>
        <v>100000</v>
      </c>
      <c r="J207" s="99"/>
      <c r="K207" s="974">
        <f>SUM(K208:K208)</f>
        <v>0</v>
      </c>
      <c r="L207" s="976"/>
      <c r="M207" s="168">
        <f>SUM(M208:M208)</f>
        <v>0</v>
      </c>
      <c r="N207" s="99"/>
      <c r="O207" s="974">
        <f>SUM(O208:O208)</f>
        <v>100000</v>
      </c>
      <c r="P207" s="85"/>
    </row>
    <row r="208" spans="2:16" ht="16.5" x14ac:dyDescent="0.35">
      <c r="B208" s="1052"/>
      <c r="C208" s="1055"/>
      <c r="D208" s="1055"/>
      <c r="E208" s="1058"/>
      <c r="F208" s="1055"/>
      <c r="G208" s="983"/>
      <c r="H208" s="968"/>
      <c r="I208" s="100">
        <f>SUM(K208+M208+O208)</f>
        <v>100000</v>
      </c>
      <c r="J208" s="101" t="str">
        <f>"(55)"</f>
        <v>(55)</v>
      </c>
      <c r="K208" s="95">
        <f>'kuni 2025 detsember tegevuskava'!Z82</f>
        <v>0</v>
      </c>
      <c r="L208" s="86" t="str">
        <f>"(55)"</f>
        <v>(55)</v>
      </c>
      <c r="M208" s="100">
        <f>'kuni 2025 detsember tegevuskava'!AC82</f>
        <v>0</v>
      </c>
      <c r="N208" s="101" t="str">
        <f>"(55)"</f>
        <v>(55)</v>
      </c>
      <c r="O208" s="95">
        <f>'kuni 2025 detsember tegevuskava'!AF82</f>
        <v>100000</v>
      </c>
      <c r="P208" s="88" t="str">
        <f>"(55)"</f>
        <v>(55)</v>
      </c>
    </row>
    <row r="209" spans="2:16" ht="16.5" x14ac:dyDescent="0.35">
      <c r="B209" s="1052"/>
      <c r="C209" s="1055"/>
      <c r="D209" s="1055"/>
      <c r="E209" s="1058"/>
      <c r="F209" s="1055"/>
      <c r="G209" s="983"/>
      <c r="H209" s="968"/>
      <c r="I209" s="144" t="s">
        <v>569</v>
      </c>
      <c r="J209" s="8"/>
      <c r="K209" s="8"/>
      <c r="L209" s="8"/>
      <c r="M209" s="8"/>
      <c r="N209" s="8"/>
      <c r="O209" s="8"/>
      <c r="P209" s="152"/>
    </row>
    <row r="210" spans="2:16" ht="16.5" x14ac:dyDescent="0.35">
      <c r="B210" s="1052"/>
      <c r="C210" s="1055"/>
      <c r="D210" s="1055"/>
      <c r="E210" s="1058"/>
      <c r="F210" s="1055"/>
      <c r="G210" s="983"/>
      <c r="H210" s="968"/>
      <c r="I210" s="96">
        <f>SUM(I211:I211)</f>
        <v>122000</v>
      </c>
      <c r="J210" s="97"/>
      <c r="K210" s="89">
        <f>SUM(K211:K211)</f>
        <v>0</v>
      </c>
      <c r="L210" s="90"/>
      <c r="M210" s="96">
        <f>SUM(M211:M211)</f>
        <v>0</v>
      </c>
      <c r="N210" s="102"/>
      <c r="O210" s="96">
        <f>SUM(O211:O211)</f>
        <v>122000</v>
      </c>
      <c r="P210" s="127"/>
    </row>
    <row r="211" spans="2:16" ht="258.64999999999998" customHeight="1" thickBot="1" x14ac:dyDescent="0.4">
      <c r="B211" s="1053"/>
      <c r="C211" s="1056"/>
      <c r="D211" s="1056"/>
      <c r="E211" s="1059"/>
      <c r="F211" s="1056"/>
      <c r="G211" s="985"/>
      <c r="H211" s="176"/>
      <c r="I211" s="123">
        <f>SUM(K211+M211+O211)</f>
        <v>122000</v>
      </c>
      <c r="J211" s="124" t="str">
        <f>"(55)"</f>
        <v>(55)</v>
      </c>
      <c r="K211" s="91">
        <f>SUM(K208*1.2)</f>
        <v>0</v>
      </c>
      <c r="L211" s="92" t="str">
        <f>"(55)"</f>
        <v>(55)</v>
      </c>
      <c r="M211" s="123">
        <f>SUM(M208*1.22)</f>
        <v>0</v>
      </c>
      <c r="N211" s="124" t="str">
        <f>"(55)"</f>
        <v>(55)</v>
      </c>
      <c r="O211" s="123">
        <f>SUM(O208*1.22)</f>
        <v>122000</v>
      </c>
      <c r="P211" s="94" t="str">
        <f>"(55)"</f>
        <v>(55)</v>
      </c>
    </row>
    <row r="212" spans="2:16" ht="16.5" x14ac:dyDescent="0.35">
      <c r="B212" s="1051" t="str">
        <f>'kuni 2025 detsember tegevuskava'!A86&amp;"/"&amp;'kuni 2025 detsember tegevuskava'!B86</f>
        <v>MKM/KEMIT</v>
      </c>
      <c r="C212" s="1054" t="str">
        <f>'kuni 2025 detsember tegevuskava'!I86</f>
        <v>Teenused aeglased, kliendile ebamugavad, automatiseerimata; süsteemides ebapiisav funktsionaalsus ja  esineb palju vigu</v>
      </c>
      <c r="D212" s="1054" t="str">
        <f>'kuni 2025 detsember tegevuskava'!J86</f>
        <v>ET (e-teenuste) iseteeninduskeskkond - I etapp sisaldab kõiki vajalikke tegevusi  terviklikuks lahenduseks.*  
ET KLIENDITOODE: arendada terviklik funktsionaalsus loataotluse esitamiseks (sh uus kasutajateekonna disain); kaetud on teenused JVIS, MTR ja NMB infosüsteemidest ja uued teenused (sh NMR)</v>
      </c>
      <c r="E212" s="1057" t="str">
        <f>'kuni 2025 detsember tegevuskava'!K86</f>
        <v>Majandustegevusteateid ja loataotlusi on võimalik esitada e-teenuste kliendikeskkonnas, vähenenud on klientide vajadus täiendava konsultatsiooni järele teenuste kasutamisel, klientide rahulolu langustrend on peatunud</v>
      </c>
      <c r="F212" s="1054" t="str">
        <f>'kuni 2025 detsember tegevuskava'!P86&amp;"/"</f>
        <v>SF 21-27 (taotletav raha)/</v>
      </c>
      <c r="G212" s="984" cm="1">
        <f t="array" ref="G212">_xlfn.IFS('kuni 2025 detsember tegevuskava'!G86='kuni 2025 detsember tegevuskava'!$G$107,1,'kuni 2025 detsember tegevuskava'!G86='kuni 2025 detsember tegevuskava'!$G$108,2,'kuni 2025 detsember tegevuskava'!G86='kuni 2025 detsember tegevuskava'!$G$109,3,'kuni 2025 detsember tegevuskava'!G86='kuni 2025 detsember tegevuskava'!$G$110,4)</f>
        <v>1</v>
      </c>
      <c r="H212" s="177" cm="1">
        <f t="array" ref="H212">_xlfn.IFS(OR('kuni 2025 detsember tegevuskava'!P86='kuni 2025 detsember tegevuskava'!$P$107,'kuni 2025 detsember tegevuskava'!P86='kuni 2025 detsember tegevuskava'!$P$109,'kuni 2025 detsember tegevuskava'!P86='kuni 2025 detsember tegevuskava'!$P$110,'kuni 2025 detsember tegevuskava'!P86='kuni 2025 detsember tegevuskava'!$P$111),1,'kuni 2025 detsember tegevuskava'!P86='kuni 2025 detsember tegevuskava'!$P$112,2,'kuni 2025 detsember tegevuskava'!P86='kuni 2025 detsember tegevuskava'!$P$113,2,'kuni 2025 detsember tegevuskava'!P86='kuni 2025 detsember tegevuskava'!$P$108,3)</f>
        <v>2</v>
      </c>
      <c r="I212" s="125">
        <f>SUM(I213:I214)</f>
        <v>1888000</v>
      </c>
      <c r="J212" s="126"/>
      <c r="K212" s="79">
        <f>SUM(K213:K214)</f>
        <v>0</v>
      </c>
      <c r="L212" s="81"/>
      <c r="M212" s="125">
        <f>SUM(M213:M214)</f>
        <v>503000</v>
      </c>
      <c r="N212" s="126"/>
      <c r="O212" s="79">
        <f>SUM(O213:O214)</f>
        <v>1385000</v>
      </c>
      <c r="P212" s="83"/>
    </row>
    <row r="213" spans="2:16" ht="16.5" x14ac:dyDescent="0.35">
      <c r="B213" s="1052"/>
      <c r="C213" s="1055"/>
      <c r="D213" s="1055"/>
      <c r="E213" s="1058"/>
      <c r="F213" s="1055"/>
      <c r="G213" s="983"/>
      <c r="H213" s="968"/>
      <c r="I213" s="98">
        <f>SUM(K213+M213+O213)</f>
        <v>1773000</v>
      </c>
      <c r="J213" s="99" t="str">
        <f>"(15)"</f>
        <v>(15)</v>
      </c>
      <c r="K213" s="969">
        <f>'kuni 2025 detsember tegevuskava'!X86</f>
        <v>0</v>
      </c>
      <c r="L213" s="970" t="str">
        <f>"(15)"</f>
        <v>(15)</v>
      </c>
      <c r="M213" s="98">
        <f>'kuni 2025 detsember tegevuskava'!AA86</f>
        <v>428000</v>
      </c>
      <c r="N213" s="99" t="str">
        <f>"(15)"</f>
        <v>(15)</v>
      </c>
      <c r="O213" s="969">
        <f>'kuni 2025 detsember tegevuskava'!AD86</f>
        <v>1345000</v>
      </c>
      <c r="P213" s="85" t="str">
        <f>"(15)"</f>
        <v>(15)</v>
      </c>
    </row>
    <row r="214" spans="2:16" ht="16.5" x14ac:dyDescent="0.35">
      <c r="B214" s="1052"/>
      <c r="C214" s="1055"/>
      <c r="D214" s="1055"/>
      <c r="E214" s="1058"/>
      <c r="F214" s="1055"/>
      <c r="G214" s="983"/>
      <c r="H214" s="968"/>
      <c r="I214" s="98">
        <f>SUM(K214+M214+O214)</f>
        <v>115000</v>
      </c>
      <c r="J214" s="99" t="str">
        <f>"(55)"</f>
        <v>(55)</v>
      </c>
      <c r="K214" s="969">
        <f>'kuni 2025 detsember tegevuskava'!Z86</f>
        <v>0</v>
      </c>
      <c r="L214" s="970" t="str">
        <f>"(55)"</f>
        <v>(55)</v>
      </c>
      <c r="M214" s="98">
        <f>'kuni 2025 detsember tegevuskava'!AC86</f>
        <v>75000</v>
      </c>
      <c r="N214" s="99" t="str">
        <f>"(55)"</f>
        <v>(55)</v>
      </c>
      <c r="O214" s="969">
        <f>'kuni 2025 detsember tegevuskava'!AF86</f>
        <v>40000</v>
      </c>
      <c r="P214" s="85" t="str">
        <f>"(55)"</f>
        <v>(55)</v>
      </c>
    </row>
    <row r="215" spans="2:16" ht="16.5" x14ac:dyDescent="0.35">
      <c r="B215" s="1052"/>
      <c r="C215" s="1055"/>
      <c r="D215" s="1055"/>
      <c r="E215" s="1058"/>
      <c r="F215" s="1055"/>
      <c r="G215" s="983"/>
      <c r="H215" s="968"/>
      <c r="I215" s="172" t="s">
        <v>569</v>
      </c>
      <c r="J215" s="178"/>
      <c r="K215" s="178"/>
      <c r="L215" s="178"/>
      <c r="M215" s="178"/>
      <c r="N215" s="178"/>
      <c r="O215" s="178"/>
      <c r="P215" s="179"/>
    </row>
    <row r="216" spans="2:16" ht="16.5" x14ac:dyDescent="0.35">
      <c r="B216" s="1052"/>
      <c r="C216" s="1055"/>
      <c r="D216" s="1055"/>
      <c r="E216" s="1058"/>
      <c r="F216" s="1055"/>
      <c r="G216" s="983"/>
      <c r="H216" s="968"/>
      <c r="I216" s="168">
        <f>SUM(I217:I218)</f>
        <v>2303360</v>
      </c>
      <c r="J216" s="99"/>
      <c r="K216" s="974">
        <f>SUM(K217:K218)</f>
        <v>0</v>
      </c>
      <c r="L216" s="976"/>
      <c r="M216" s="168">
        <f>SUM(M217:M218)</f>
        <v>613660</v>
      </c>
      <c r="N216" s="159"/>
      <c r="O216" s="168">
        <f>SUM(O217:O218)</f>
        <v>1689700</v>
      </c>
      <c r="P216" s="67"/>
    </row>
    <row r="217" spans="2:16" ht="16.5" x14ac:dyDescent="0.35">
      <c r="B217" s="1052"/>
      <c r="C217" s="1055"/>
      <c r="D217" s="1055"/>
      <c r="E217" s="1058"/>
      <c r="F217" s="1055"/>
      <c r="G217" s="983"/>
      <c r="H217" s="968"/>
      <c r="I217" s="98">
        <f>SUM(K217+M217+O217)</f>
        <v>2163060</v>
      </c>
      <c r="J217" s="99" t="str">
        <f>"(15)"</f>
        <v>(15)</v>
      </c>
      <c r="K217" s="969">
        <f>SUM(K213*1.2)</f>
        <v>0</v>
      </c>
      <c r="L217" s="970" t="str">
        <f>"(15)"</f>
        <v>(15)</v>
      </c>
      <c r="M217" s="98">
        <f>SUM(M213*1.22)</f>
        <v>522160</v>
      </c>
      <c r="N217" s="99" t="str">
        <f>"(15)"</f>
        <v>(15)</v>
      </c>
      <c r="O217" s="98">
        <f>SUM(O213*1.22)</f>
        <v>1640900</v>
      </c>
      <c r="P217" s="85" t="str">
        <f>"(15)"</f>
        <v>(15)</v>
      </c>
    </row>
    <row r="218" spans="2:16" ht="22.75" customHeight="1" thickBot="1" x14ac:dyDescent="0.4">
      <c r="B218" s="1053"/>
      <c r="C218" s="1056"/>
      <c r="D218" s="1056"/>
      <c r="E218" s="1059"/>
      <c r="F218" s="1056"/>
      <c r="G218" s="985"/>
      <c r="H218" s="176"/>
      <c r="I218" s="123">
        <f>SUM(K218+M218+O218)</f>
        <v>140300</v>
      </c>
      <c r="J218" s="124" t="str">
        <f>"(55)"</f>
        <v>(55)</v>
      </c>
      <c r="K218" s="91">
        <f>SUM(K214*1.2)</f>
        <v>0</v>
      </c>
      <c r="L218" s="92" t="str">
        <f>"(55)"</f>
        <v>(55)</v>
      </c>
      <c r="M218" s="123">
        <f>SUM(M214*1.22)</f>
        <v>91500</v>
      </c>
      <c r="N218" s="124" t="str">
        <f>"(55)"</f>
        <v>(55)</v>
      </c>
      <c r="O218" s="123">
        <f>SUM(O214*1.22)</f>
        <v>48800</v>
      </c>
      <c r="P218" s="94" t="str">
        <f>"(55)"</f>
        <v>(55)</v>
      </c>
    </row>
    <row r="219" spans="2:16" ht="16.5" customHeight="1" x14ac:dyDescent="0.35">
      <c r="B219" s="1051" t="str">
        <f>'kuni 2025 detsember tegevuskava'!A92&amp;"/"&amp;'kuni 2025 detsember tegevuskava'!B92</f>
        <v>MKM/DAO</v>
      </c>
      <c r="C219" s="1054" t="str">
        <f>'kuni 2025 detsember tegevuskava'!I92</f>
        <v>RIT-i keskne ATK teenus ja serveri alusteenused ei ole MKMi poolt keskselt koordineeritud ja juhitud. 
Riigiülese baasteenuse konsolideerimiseks puudub ressurss</v>
      </c>
      <c r="D219" s="1054" t="str">
        <f>'kuni 2025 detsember tegevuskava'!J92</f>
        <v>Arvutustaristu tehnoloogia nõuniku ja konsolideerimise programmijuhi värbamine</v>
      </c>
      <c r="E219" s="1057" t="str">
        <f>'kuni 2025 detsember tegevuskava'!K92</f>
        <v xml:space="preserve">RIT-i keskne ATK teenus ja serveri alusteenused on MKMi poolt keskselt koordineeritud ja juhitud. 
Riigiülese baasteenuse konsolideerimise koordineerimine </v>
      </c>
      <c r="F219" s="1054" t="str">
        <f>'kuni 2025 detsember tegevuskava'!P92&amp;"/"</f>
        <v>RES IKT (vaja juurde taotleda)/</v>
      </c>
      <c r="G219" s="984" cm="1">
        <f t="array" ref="G219">_xlfn.IFS('kuni 2025 detsember tegevuskava'!G92='kuni 2025 detsember tegevuskava'!$G$107,1,'kuni 2025 detsember tegevuskava'!G92='kuni 2025 detsember tegevuskava'!$G$108,2,'kuni 2025 detsember tegevuskava'!G92='kuni 2025 detsember tegevuskava'!$G$109,3,'kuni 2025 detsember tegevuskava'!G92='kuni 2025 detsember tegevuskava'!$G$110,4)</f>
        <v>4</v>
      </c>
      <c r="H219" s="177" cm="1">
        <f t="array" ref="H219">_xlfn.IFS(OR('kuni 2025 detsember tegevuskava'!P92='kuni 2025 detsember tegevuskava'!$P$107,'kuni 2025 detsember tegevuskava'!P92='kuni 2025 detsember tegevuskava'!$P$109,'kuni 2025 detsember tegevuskava'!P92='kuni 2025 detsember tegevuskava'!$P$110,'kuni 2025 detsember tegevuskava'!P92='kuni 2025 detsember tegevuskava'!$P$111),1,'kuni 2025 detsember tegevuskava'!P92='kuni 2025 detsember tegevuskava'!$P$112,2,'kuni 2025 detsember tegevuskava'!P92='kuni 2025 detsember tegevuskava'!$P$113,2,'kuni 2025 detsember tegevuskava'!P92='kuni 2025 detsember tegevuskava'!$P$108,3)</f>
        <v>1</v>
      </c>
      <c r="I219" s="125">
        <f>SUM(I220:I221)</f>
        <v>164000</v>
      </c>
      <c r="J219" s="126"/>
      <c r="K219" s="79">
        <f>SUM(K220:K221)</f>
        <v>0</v>
      </c>
      <c r="L219" s="81"/>
      <c r="M219" s="125">
        <f>SUM(M220:M221)</f>
        <v>0</v>
      </c>
      <c r="N219" s="126"/>
      <c r="O219" s="79">
        <f>SUM(O220:O221)</f>
        <v>164000</v>
      </c>
      <c r="P219" s="83"/>
    </row>
    <row r="220" spans="2:16" ht="16.5" x14ac:dyDescent="0.35">
      <c r="B220" s="1052"/>
      <c r="C220" s="1055"/>
      <c r="D220" s="1055"/>
      <c r="E220" s="1058"/>
      <c r="F220" s="1055"/>
      <c r="G220" s="983"/>
      <c r="H220" s="968"/>
      <c r="I220" s="98">
        <f>SUM(K220+M220+O220)</f>
        <v>150000</v>
      </c>
      <c r="J220" s="99" t="str">
        <f>"(50)"</f>
        <v>(50)</v>
      </c>
      <c r="K220" s="969">
        <f>'kuni 2025 detsember tegevuskava'!Y92</f>
        <v>0</v>
      </c>
      <c r="L220" s="970" t="str">
        <f>"(50)"</f>
        <v>(50)</v>
      </c>
      <c r="M220" s="98">
        <f>'kuni 2025 detsember tegevuskava'!AB92</f>
        <v>0</v>
      </c>
      <c r="N220" s="99" t="str">
        <f>"(50)"</f>
        <v>(50)</v>
      </c>
      <c r="O220" s="969">
        <f>'kuni 2025 detsember tegevuskava'!AE92</f>
        <v>150000</v>
      </c>
      <c r="P220" s="85" t="str">
        <f>"(50)"</f>
        <v>(50)</v>
      </c>
    </row>
    <row r="221" spans="2:16" ht="16.5" x14ac:dyDescent="0.35">
      <c r="B221" s="1052"/>
      <c r="C221" s="1055"/>
      <c r="D221" s="1055"/>
      <c r="E221" s="1058"/>
      <c r="F221" s="1055"/>
      <c r="G221" s="983"/>
      <c r="H221" s="968"/>
      <c r="I221" s="98">
        <f>SUM(K221+M221+O221)</f>
        <v>14000</v>
      </c>
      <c r="J221" s="99" t="str">
        <f>"(55)"</f>
        <v>(55)</v>
      </c>
      <c r="K221" s="969">
        <f>'kuni 2025 detsember tegevuskava'!Z92</f>
        <v>0</v>
      </c>
      <c r="L221" s="970" t="str">
        <f>"(55)"</f>
        <v>(55)</v>
      </c>
      <c r="M221" s="98">
        <f>'kuni 2025 detsember tegevuskava'!AC92</f>
        <v>0</v>
      </c>
      <c r="N221" s="99" t="str">
        <f>"(55)"</f>
        <v>(55)</v>
      </c>
      <c r="O221" s="969">
        <f>'kuni 2025 detsember tegevuskava'!AF92</f>
        <v>14000</v>
      </c>
      <c r="P221" s="85" t="str">
        <f>"(55)"</f>
        <v>(55)</v>
      </c>
    </row>
    <row r="222" spans="2:16" ht="16.5" x14ac:dyDescent="0.35">
      <c r="B222" s="1052"/>
      <c r="C222" s="1055"/>
      <c r="D222" s="1055"/>
      <c r="E222" s="1058"/>
      <c r="F222" s="1055"/>
      <c r="G222" s="983"/>
      <c r="H222" s="968"/>
      <c r="I222" s="172" t="s">
        <v>569</v>
      </c>
      <c r="J222" s="178"/>
      <c r="K222" s="178"/>
      <c r="L222" s="178"/>
      <c r="M222" s="178"/>
      <c r="N222" s="178"/>
      <c r="O222" s="178"/>
      <c r="P222" s="179"/>
    </row>
    <row r="223" spans="2:16" ht="16.5" x14ac:dyDescent="0.35">
      <c r="B223" s="1052"/>
      <c r="C223" s="1055"/>
      <c r="D223" s="1055"/>
      <c r="E223" s="1058"/>
      <c r="F223" s="1055"/>
      <c r="G223" s="983"/>
      <c r="H223" s="968"/>
      <c r="I223" s="168">
        <f>SUM(I224:I225)</f>
        <v>167080</v>
      </c>
      <c r="J223" s="99"/>
      <c r="K223" s="974">
        <f>SUM(K224:K225)</f>
        <v>0</v>
      </c>
      <c r="L223" s="976"/>
      <c r="M223" s="168">
        <f>SUM(M224:M225)</f>
        <v>0</v>
      </c>
      <c r="N223" s="159"/>
      <c r="O223" s="168">
        <f>SUM(O224:O225)</f>
        <v>167080</v>
      </c>
      <c r="P223" s="67"/>
    </row>
    <row r="224" spans="2:16" ht="16.5" x14ac:dyDescent="0.35">
      <c r="B224" s="1052"/>
      <c r="C224" s="1055"/>
      <c r="D224" s="1055"/>
      <c r="E224" s="1058"/>
      <c r="F224" s="1055"/>
      <c r="G224" s="983"/>
      <c r="H224" s="968"/>
      <c r="I224" s="98">
        <f>SUM(K224+M224+O224)</f>
        <v>150000</v>
      </c>
      <c r="J224" s="99" t="str">
        <f>"(50)"</f>
        <v>(50)</v>
      </c>
      <c r="K224" s="969">
        <f>K220</f>
        <v>0</v>
      </c>
      <c r="L224" s="970" t="str">
        <f>"(50)"</f>
        <v>(50)</v>
      </c>
      <c r="M224" s="98">
        <f>M220</f>
        <v>0</v>
      </c>
      <c r="N224" s="99" t="str">
        <f>"(50)"</f>
        <v>(50)</v>
      </c>
      <c r="O224" s="98">
        <f>O220</f>
        <v>150000</v>
      </c>
      <c r="P224" s="85" t="str">
        <f>"(50)"</f>
        <v>(50)</v>
      </c>
    </row>
    <row r="225" spans="2:16" ht="17" thickBot="1" x14ac:dyDescent="0.4">
      <c r="B225" s="1053"/>
      <c r="C225" s="1056"/>
      <c r="D225" s="1056"/>
      <c r="E225" s="1059"/>
      <c r="F225" s="1056"/>
      <c r="G225" s="985"/>
      <c r="H225" s="176"/>
      <c r="I225" s="123">
        <f>SUM(K225+M225+O225)</f>
        <v>17080</v>
      </c>
      <c r="J225" s="124" t="str">
        <f>"(55)"</f>
        <v>(55)</v>
      </c>
      <c r="K225" s="91">
        <f>SUM(K221*1.2)</f>
        <v>0</v>
      </c>
      <c r="L225" s="92" t="str">
        <f>"(55)"</f>
        <v>(55)</v>
      </c>
      <c r="M225" s="123">
        <f>SUM(M221*1.22)</f>
        <v>0</v>
      </c>
      <c r="N225" s="124" t="str">
        <f>"(55)"</f>
        <v>(55)</v>
      </c>
      <c r="O225" s="123">
        <f>SUM(O221*1.22)</f>
        <v>17080</v>
      </c>
      <c r="P225" s="94" t="str">
        <f>"(55)"</f>
        <v>(55)</v>
      </c>
    </row>
    <row r="226" spans="2:16" ht="16.5" x14ac:dyDescent="0.35">
      <c r="B226" s="1051" t="str">
        <f>'kuni 2025 detsember tegevuskava'!A93&amp;"/"&amp;'kuni 2025 detsember tegevuskava'!B93</f>
        <v>MKM/TTJA</v>
      </c>
      <c r="C226" s="1054" t="str">
        <f>'kuni 2025 detsember tegevuskava'!I93</f>
        <v>TTJA puudub võimekus UX/UI kompetentsi osas</v>
      </c>
      <c r="D226" s="1054" t="str">
        <f>'kuni 2025 detsember tegevuskava'!J93</f>
        <v>Kasutajateekonna (UX) kompetentsi tõstmine</v>
      </c>
      <c r="E226" s="1057" t="str">
        <f>'kuni 2025 detsember tegevuskava'!K93</f>
        <v>Kasutajateekonna (UX) spetsialist on värvatud</v>
      </c>
      <c r="F226" s="1054" t="str">
        <f>'kuni 2025 detsember tegevuskava'!P93&amp;"/"</f>
        <v>SF 21-27 (taotletav raha)/</v>
      </c>
      <c r="G226" s="984" cm="1">
        <f t="array" ref="G226">_xlfn.IFS('kuni 2025 detsember tegevuskava'!G93='kuni 2025 detsember tegevuskava'!$G$107,1,'kuni 2025 detsember tegevuskava'!G93='kuni 2025 detsember tegevuskava'!$G$108,2,'kuni 2025 detsember tegevuskava'!G93='kuni 2025 detsember tegevuskava'!$G$109,3,'kuni 2025 detsember tegevuskava'!G93='kuni 2025 detsember tegevuskava'!$G$110,4)</f>
        <v>3</v>
      </c>
      <c r="H226" s="177" cm="1">
        <f t="array" ref="H226">_xlfn.IFS(OR('kuni 2025 detsember tegevuskava'!P93='kuni 2025 detsember tegevuskava'!$P$107,'kuni 2025 detsember tegevuskava'!P93='kuni 2025 detsember tegevuskava'!$P$109,'kuni 2025 detsember tegevuskava'!P93='kuni 2025 detsember tegevuskava'!$P$110,'kuni 2025 detsember tegevuskava'!P93='kuni 2025 detsember tegevuskava'!$P$111),1,'kuni 2025 detsember tegevuskava'!P93='kuni 2025 detsember tegevuskava'!$P$112,2,'kuni 2025 detsember tegevuskava'!P93='kuni 2025 detsember tegevuskava'!$P$113,2,'kuni 2025 detsember tegevuskava'!P93='kuni 2025 detsember tegevuskava'!$P$108,3)</f>
        <v>2</v>
      </c>
      <c r="I226" s="125">
        <f>SUM(I227:I229)</f>
        <v>107000</v>
      </c>
      <c r="J226" s="126"/>
      <c r="K226" s="79">
        <f>SUM(K227:K229)</f>
        <v>0</v>
      </c>
      <c r="L226" s="81"/>
      <c r="M226" s="125">
        <f>SUM(M227:M229)</f>
        <v>42000</v>
      </c>
      <c r="N226" s="126"/>
      <c r="O226" s="79">
        <f>SUM(O227:O229)</f>
        <v>65000</v>
      </c>
      <c r="P226" s="83"/>
    </row>
    <row r="227" spans="2:16" ht="16.5" x14ac:dyDescent="0.35">
      <c r="B227" s="1052"/>
      <c r="C227" s="1055"/>
      <c r="D227" s="1055"/>
      <c r="E227" s="1058"/>
      <c r="F227" s="1055"/>
      <c r="G227" s="983"/>
      <c r="H227" s="968"/>
      <c r="I227" s="98">
        <f>SUM(K227+M227+O227)</f>
        <v>0</v>
      </c>
      <c r="J227" s="99" t="str">
        <f>"(15)"</f>
        <v>(15)</v>
      </c>
      <c r="K227" s="969">
        <f>'kuni 2025 detsember tegevuskava'!X93</f>
        <v>0</v>
      </c>
      <c r="L227" s="970" t="str">
        <f>"(15)"</f>
        <v>(15)</v>
      </c>
      <c r="M227" s="98">
        <f>'kuni 2025 detsember tegevuskava'!AA93</f>
        <v>0</v>
      </c>
      <c r="N227" s="99" t="str">
        <f>"(15)"</f>
        <v>(15)</v>
      </c>
      <c r="O227" s="969">
        <f>'kuni 2025 detsember tegevuskava'!AD93</f>
        <v>0</v>
      </c>
      <c r="P227" s="85" t="str">
        <f>"(15)"</f>
        <v>(15)</v>
      </c>
    </row>
    <row r="228" spans="2:16" ht="16.5" x14ac:dyDescent="0.35">
      <c r="B228" s="1052"/>
      <c r="C228" s="1055"/>
      <c r="D228" s="1055"/>
      <c r="E228" s="1058"/>
      <c r="F228" s="1055"/>
      <c r="G228" s="983"/>
      <c r="H228" s="968"/>
      <c r="I228" s="98">
        <f>SUM(K228+M228+O228)</f>
        <v>87000</v>
      </c>
      <c r="J228" s="99" t="str">
        <f>"(50)"</f>
        <v>(50)</v>
      </c>
      <c r="K228" s="969">
        <f>'kuni 2025 detsember tegevuskava'!Y93</f>
        <v>0</v>
      </c>
      <c r="L228" s="970" t="str">
        <f>"(50)"</f>
        <v>(50)</v>
      </c>
      <c r="M228" s="98">
        <f>'kuni 2025 detsember tegevuskava'!AB93</f>
        <v>32000</v>
      </c>
      <c r="N228" s="99" t="str">
        <f>"(50)"</f>
        <v>(50)</v>
      </c>
      <c r="O228" s="969">
        <f>'kuni 2025 detsember tegevuskava'!AE93</f>
        <v>55000</v>
      </c>
      <c r="P228" s="85" t="str">
        <f>"(50)"</f>
        <v>(50)</v>
      </c>
    </row>
    <row r="229" spans="2:16" ht="16.5" x14ac:dyDescent="0.35">
      <c r="B229" s="1052"/>
      <c r="C229" s="1055"/>
      <c r="D229" s="1055"/>
      <c r="E229" s="1058"/>
      <c r="F229" s="1055"/>
      <c r="G229" s="983"/>
      <c r="H229" s="968"/>
      <c r="I229" s="100">
        <f>SUM(K229+M229+O229)</f>
        <v>20000</v>
      </c>
      <c r="J229" s="101" t="str">
        <f>"(55)"</f>
        <v>(55)</v>
      </c>
      <c r="K229" s="95">
        <f>'kuni 2025 detsember tegevuskava'!Z93</f>
        <v>0</v>
      </c>
      <c r="L229" s="86" t="str">
        <f>"(55)"</f>
        <v>(55)</v>
      </c>
      <c r="M229" s="100">
        <f>'kuni 2025 detsember tegevuskava'!AC93</f>
        <v>10000</v>
      </c>
      <c r="N229" s="101" t="str">
        <f>"(55)"</f>
        <v>(55)</v>
      </c>
      <c r="O229" s="95">
        <f>'kuni 2025 detsember tegevuskava'!AF93</f>
        <v>10000</v>
      </c>
      <c r="P229" s="88" t="str">
        <f>"(55)"</f>
        <v>(55)</v>
      </c>
    </row>
    <row r="230" spans="2:16" ht="16.5" x14ac:dyDescent="0.35">
      <c r="B230" s="1052"/>
      <c r="C230" s="1055"/>
      <c r="D230" s="1055"/>
      <c r="E230" s="1058"/>
      <c r="F230" s="1055"/>
      <c r="G230" s="983"/>
      <c r="H230" s="968"/>
      <c r="I230" s="144" t="s">
        <v>569</v>
      </c>
      <c r="J230" s="8"/>
      <c r="K230" s="8"/>
      <c r="L230" s="8"/>
      <c r="M230" s="8"/>
      <c r="N230" s="8"/>
      <c r="O230" s="8"/>
      <c r="P230" s="152"/>
    </row>
    <row r="231" spans="2:16" ht="16.5" x14ac:dyDescent="0.35">
      <c r="B231" s="1052"/>
      <c r="C231" s="1055"/>
      <c r="D231" s="1055"/>
      <c r="E231" s="1058"/>
      <c r="F231" s="1055"/>
      <c r="G231" s="983"/>
      <c r="H231" s="968"/>
      <c r="I231" s="96">
        <f>SUM(I232:I234)</f>
        <v>111400</v>
      </c>
      <c r="J231" s="97"/>
      <c r="K231" s="89">
        <f>SUM(K232:K234)</f>
        <v>0</v>
      </c>
      <c r="L231" s="90"/>
      <c r="M231" s="96">
        <f>SUM(M232:M234)</f>
        <v>44200</v>
      </c>
      <c r="N231" s="102"/>
      <c r="O231" s="96">
        <f>SUM(O232:O234)</f>
        <v>67200</v>
      </c>
      <c r="P231" s="127"/>
    </row>
    <row r="232" spans="2:16" ht="16.5" x14ac:dyDescent="0.35">
      <c r="B232" s="1052"/>
      <c r="C232" s="1055"/>
      <c r="D232" s="1055"/>
      <c r="E232" s="1058"/>
      <c r="F232" s="1055"/>
      <c r="G232" s="983"/>
      <c r="H232" s="968"/>
      <c r="I232" s="98">
        <f>SUM(K232+M232+O232)</f>
        <v>0</v>
      </c>
      <c r="J232" s="99" t="str">
        <f>"(15)"</f>
        <v>(15)</v>
      </c>
      <c r="K232" s="969">
        <f>SUM(K227*1.2)</f>
        <v>0</v>
      </c>
      <c r="L232" s="970" t="str">
        <f>"(15)"</f>
        <v>(15)</v>
      </c>
      <c r="M232" s="98">
        <f>SUM(M227*1.22)</f>
        <v>0</v>
      </c>
      <c r="N232" s="99" t="str">
        <f>"(15)"</f>
        <v>(15)</v>
      </c>
      <c r="O232" s="98">
        <f>SUM(O227*1.22)</f>
        <v>0</v>
      </c>
      <c r="P232" s="85" t="str">
        <f>"(15)"</f>
        <v>(15)</v>
      </c>
    </row>
    <row r="233" spans="2:16" ht="16.5" x14ac:dyDescent="0.35">
      <c r="B233" s="1052"/>
      <c r="C233" s="1055"/>
      <c r="D233" s="1055"/>
      <c r="E233" s="1058"/>
      <c r="F233" s="1055"/>
      <c r="G233" s="983"/>
      <c r="H233" s="968"/>
      <c r="I233" s="98">
        <f>SUM(K233+M233+O233)</f>
        <v>87000</v>
      </c>
      <c r="J233" s="99" t="str">
        <f>"(50)"</f>
        <v>(50)</v>
      </c>
      <c r="K233" s="969">
        <f>K228</f>
        <v>0</v>
      </c>
      <c r="L233" s="970" t="str">
        <f>"(50)"</f>
        <v>(50)</v>
      </c>
      <c r="M233" s="98">
        <f>M228</f>
        <v>32000</v>
      </c>
      <c r="N233" s="99" t="str">
        <f>"(50)"</f>
        <v>(50)</v>
      </c>
      <c r="O233" s="98">
        <f>O228</f>
        <v>55000</v>
      </c>
      <c r="P233" s="85" t="str">
        <f>"(50)"</f>
        <v>(50)</v>
      </c>
    </row>
    <row r="234" spans="2:16" ht="17" thickBot="1" x14ac:dyDescent="0.4">
      <c r="B234" s="1053"/>
      <c r="C234" s="1056"/>
      <c r="D234" s="1056"/>
      <c r="E234" s="1059"/>
      <c r="F234" s="1056"/>
      <c r="G234" s="985"/>
      <c r="H234" s="176"/>
      <c r="I234" s="123">
        <f>SUM(K234+M234+O234)</f>
        <v>24400</v>
      </c>
      <c r="J234" s="124" t="str">
        <f>"(55)"</f>
        <v>(55)</v>
      </c>
      <c r="K234" s="91">
        <f>SUM(K229*1.2)</f>
        <v>0</v>
      </c>
      <c r="L234" s="92" t="str">
        <f>"(55)"</f>
        <v>(55)</v>
      </c>
      <c r="M234" s="123">
        <f>SUM(M229*1.22)</f>
        <v>12200</v>
      </c>
      <c r="N234" s="124" t="str">
        <f>"(55)"</f>
        <v>(55)</v>
      </c>
      <c r="O234" s="123">
        <f>SUM(O229*1.22)</f>
        <v>12200</v>
      </c>
      <c r="P234" s="94" t="str">
        <f>"(55)"</f>
        <v>(55)</v>
      </c>
    </row>
    <row r="235" spans="2:16" ht="16.5" x14ac:dyDescent="0.35">
      <c r="B235" s="1052" t="str">
        <f>'kuni 2025 detsember tegevuskava'!A94&amp;"/"&amp;'kuni 2025 detsember tegevuskava'!B94</f>
        <v>MKM/KEMIT</v>
      </c>
      <c r="C235" s="1055" t="str">
        <f>'kuni 2025 detsember tegevuskava'!I94</f>
        <v>Kemitil puudub piisav IT arhitekti kompetents/ressurss ning arendustööde haldusvõimekus on ebapiisav e-teenuste projekti jaoks</v>
      </c>
      <c r="D235" s="1055" t="str">
        <f>'kuni 2025 detsember tegevuskava'!J94</f>
        <v>TTJA pilooti jaoks võimekuse ja kompetentsi tõstmine KEMITis</v>
      </c>
      <c r="E235" s="1058" t="str">
        <f>'kuni 2025 detsember tegevuskava'!K94</f>
        <v>Süsteemiarhitekt ja teenushaldur on värvatud.</v>
      </c>
      <c r="F235" s="1055" t="str">
        <f>'kuni 2025 detsember tegevuskava'!P94&amp;"/"</f>
        <v>SF 21-27 (taotletav raha)/</v>
      </c>
      <c r="G235" s="983" cm="1">
        <f t="array" ref="G235">_xlfn.IFS('kuni 2025 detsember tegevuskava'!G94='kuni 2025 detsember tegevuskava'!$G$107,1,'kuni 2025 detsember tegevuskava'!G94='kuni 2025 detsember tegevuskava'!$G$108,2,'kuni 2025 detsember tegevuskava'!G94='kuni 2025 detsember tegevuskava'!$G$109,3,'kuni 2025 detsember tegevuskava'!G94='kuni 2025 detsember tegevuskava'!$G$110,4)</f>
        <v>3</v>
      </c>
      <c r="H235" s="968" cm="1">
        <f t="array" ref="H235">_xlfn.IFS(OR('kuni 2025 detsember tegevuskava'!P102='kuni 2025 detsember tegevuskava'!$P$107,'kuni 2025 detsember tegevuskava'!P102='kuni 2025 detsember tegevuskava'!$P$109,'kuni 2025 detsember tegevuskava'!P102='kuni 2025 detsember tegevuskava'!$P$110,'kuni 2025 detsember tegevuskava'!P102='kuni 2025 detsember tegevuskava'!$P$111),1,'kuni 2025 detsember tegevuskava'!P102='kuni 2025 detsember tegevuskava'!$P$112,2,'kuni 2025 detsember tegevuskava'!P102='kuni 2025 detsember tegevuskava'!$P$113,2,'kuni 2025 detsember tegevuskava'!P102='kuni 2025 detsember tegevuskava'!$P$108,3)</f>
        <v>1</v>
      </c>
      <c r="I235" s="168">
        <f>SUM(I236:I238)</f>
        <v>210550</v>
      </c>
      <c r="J235" s="99"/>
      <c r="K235" s="974">
        <f>SUM(K236:K238)</f>
        <v>0</v>
      </c>
      <c r="L235" s="976"/>
      <c r="M235" s="168">
        <f>SUM(M236:M238)</f>
        <v>75000</v>
      </c>
      <c r="N235" s="99"/>
      <c r="O235" s="974">
        <f>SUM(O236:O238)</f>
        <v>135550</v>
      </c>
      <c r="P235" s="85"/>
    </row>
    <row r="236" spans="2:16" ht="16.5" x14ac:dyDescent="0.35">
      <c r="B236" s="1052"/>
      <c r="C236" s="1055"/>
      <c r="D236" s="1055"/>
      <c r="E236" s="1058"/>
      <c r="F236" s="1055"/>
      <c r="G236" s="983"/>
      <c r="H236" s="968"/>
      <c r="I236" s="98">
        <f>SUM(K236+M236+O236)</f>
        <v>0</v>
      </c>
      <c r="J236" s="99" t="str">
        <f>"(15)"</f>
        <v>(15)</v>
      </c>
      <c r="K236" s="969">
        <f>'kuni 2025 detsember tegevuskava'!X94</f>
        <v>0</v>
      </c>
      <c r="L236" s="970" t="str">
        <f>"(15)"</f>
        <v>(15)</v>
      </c>
      <c r="M236" s="98">
        <f>'kuni 2025 detsember tegevuskava'!AA94</f>
        <v>0</v>
      </c>
      <c r="N236" s="99" t="str">
        <f>"(15)"</f>
        <v>(15)</v>
      </c>
      <c r="O236" s="969">
        <f>'kuni 2025 detsember tegevuskava'!AD94</f>
        <v>0</v>
      </c>
      <c r="P236" s="85" t="str">
        <f>"(15)"</f>
        <v>(15)</v>
      </c>
    </row>
    <row r="237" spans="2:16" ht="16.5" x14ac:dyDescent="0.35">
      <c r="B237" s="1052"/>
      <c r="C237" s="1055"/>
      <c r="D237" s="1055"/>
      <c r="E237" s="1058"/>
      <c r="F237" s="1055"/>
      <c r="G237" s="983"/>
      <c r="H237" s="968"/>
      <c r="I237" s="98">
        <f>SUM(K237+M237+O237)</f>
        <v>200550</v>
      </c>
      <c r="J237" s="99" t="str">
        <f>"(50)"</f>
        <v>(50)</v>
      </c>
      <c r="K237" s="969">
        <f>'kuni 2025 detsember tegevuskava'!Y94</f>
        <v>0</v>
      </c>
      <c r="L237" s="970" t="str">
        <f>"(50)"</f>
        <v>(50)</v>
      </c>
      <c r="M237" s="98">
        <f>'kuni 2025 detsember tegevuskava'!AB94</f>
        <v>70000</v>
      </c>
      <c r="N237" s="99" t="str">
        <f>"(50)"</f>
        <v>(50)</v>
      </c>
      <c r="O237" s="969">
        <f>'kuni 2025 detsember tegevuskava'!AE94</f>
        <v>130550</v>
      </c>
      <c r="P237" s="85" t="str">
        <f>"(50)"</f>
        <v>(50)</v>
      </c>
    </row>
    <row r="238" spans="2:16" ht="16.5" x14ac:dyDescent="0.35">
      <c r="B238" s="1052"/>
      <c r="C238" s="1055"/>
      <c r="D238" s="1055"/>
      <c r="E238" s="1058"/>
      <c r="F238" s="1055"/>
      <c r="G238" s="983"/>
      <c r="H238" s="968"/>
      <c r="I238" s="100">
        <f>SUM(K238+M238+O238)</f>
        <v>10000</v>
      </c>
      <c r="J238" s="101" t="str">
        <f>"(55)"</f>
        <v>(55)</v>
      </c>
      <c r="K238" s="95">
        <f>'kuni 2025 detsember tegevuskava'!Z94</f>
        <v>0</v>
      </c>
      <c r="L238" s="86" t="str">
        <f>"(55)"</f>
        <v>(55)</v>
      </c>
      <c r="M238" s="100">
        <f>'kuni 2025 detsember tegevuskava'!AC94</f>
        <v>5000</v>
      </c>
      <c r="N238" s="101" t="str">
        <f>"(55)"</f>
        <v>(55)</v>
      </c>
      <c r="O238" s="95">
        <f>'kuni 2025 detsember tegevuskava'!AF94</f>
        <v>5000</v>
      </c>
      <c r="P238" s="88" t="str">
        <f>"(55)"</f>
        <v>(55)</v>
      </c>
    </row>
    <row r="239" spans="2:16" ht="16.5" x14ac:dyDescent="0.35">
      <c r="B239" s="1052"/>
      <c r="C239" s="1055"/>
      <c r="D239" s="1055"/>
      <c r="E239" s="1058"/>
      <c r="F239" s="1055"/>
      <c r="G239" s="983"/>
      <c r="H239" s="968"/>
      <c r="I239" s="144" t="s">
        <v>569</v>
      </c>
      <c r="J239" s="8"/>
      <c r="K239" s="8"/>
      <c r="L239" s="8"/>
      <c r="M239" s="8"/>
      <c r="N239" s="8"/>
      <c r="O239" s="8"/>
      <c r="P239" s="152"/>
    </row>
    <row r="240" spans="2:16" ht="16.5" x14ac:dyDescent="0.35">
      <c r="B240" s="1052"/>
      <c r="C240" s="1055"/>
      <c r="D240" s="1055"/>
      <c r="E240" s="1058"/>
      <c r="F240" s="1055"/>
      <c r="G240" s="983"/>
      <c r="H240" s="968"/>
      <c r="I240" s="96">
        <f>SUM(I241:I243)</f>
        <v>212750</v>
      </c>
      <c r="J240" s="97"/>
      <c r="K240" s="89">
        <f>SUM(K241:K243)</f>
        <v>0</v>
      </c>
      <c r="L240" s="90"/>
      <c r="M240" s="96">
        <f>SUM(M241:M243)</f>
        <v>76100</v>
      </c>
      <c r="N240" s="102"/>
      <c r="O240" s="96">
        <f>SUM(O241:O243)</f>
        <v>136650</v>
      </c>
      <c r="P240" s="127"/>
    </row>
    <row r="241" spans="1:34" ht="16.5" x14ac:dyDescent="0.35">
      <c r="B241" s="1052"/>
      <c r="C241" s="1055"/>
      <c r="D241" s="1055"/>
      <c r="E241" s="1058"/>
      <c r="F241" s="1055"/>
      <c r="G241" s="983"/>
      <c r="H241" s="968"/>
      <c r="I241" s="98">
        <f>SUM(K241+M241+O241)</f>
        <v>0</v>
      </c>
      <c r="J241" s="99" t="str">
        <f>"(15)"</f>
        <v>(15)</v>
      </c>
      <c r="K241" s="969">
        <f>SUM(K236*1.2)</f>
        <v>0</v>
      </c>
      <c r="L241" s="970" t="str">
        <f>"(15)"</f>
        <v>(15)</v>
      </c>
      <c r="M241" s="98">
        <f>SUM(M236*1.22)</f>
        <v>0</v>
      </c>
      <c r="N241" s="99" t="str">
        <f>"(15)"</f>
        <v>(15)</v>
      </c>
      <c r="O241" s="98">
        <f>SUM(O236*1.22)</f>
        <v>0</v>
      </c>
      <c r="P241" s="85" t="str">
        <f>"(15)"</f>
        <v>(15)</v>
      </c>
    </row>
    <row r="242" spans="1:34" ht="16.5" x14ac:dyDescent="0.35">
      <c r="B242" s="1052"/>
      <c r="C242" s="1055"/>
      <c r="D242" s="1055"/>
      <c r="E242" s="1058"/>
      <c r="F242" s="1055"/>
      <c r="G242" s="983"/>
      <c r="H242" s="968"/>
      <c r="I242" s="98">
        <f>SUM(K242+M242+O242)</f>
        <v>200550</v>
      </c>
      <c r="J242" s="99" t="str">
        <f>"(50)"</f>
        <v>(50)</v>
      </c>
      <c r="K242" s="969">
        <f>K237</f>
        <v>0</v>
      </c>
      <c r="L242" s="970" t="str">
        <f>"(50)"</f>
        <v>(50)</v>
      </c>
      <c r="M242" s="98">
        <f>M237</f>
        <v>70000</v>
      </c>
      <c r="N242" s="99" t="str">
        <f>"(50)"</f>
        <v>(50)</v>
      </c>
      <c r="O242" s="98">
        <f>O237</f>
        <v>130550</v>
      </c>
      <c r="P242" s="85" t="str">
        <f>"(50)"</f>
        <v>(50)</v>
      </c>
    </row>
    <row r="243" spans="1:34" ht="17" thickBot="1" x14ac:dyDescent="0.4">
      <c r="B243" s="1053"/>
      <c r="C243" s="1056"/>
      <c r="D243" s="1056"/>
      <c r="E243" s="1059"/>
      <c r="F243" s="1056"/>
      <c r="G243" s="985"/>
      <c r="H243" s="176"/>
      <c r="I243" s="123">
        <f>SUM(K243+M243+O243)</f>
        <v>12200</v>
      </c>
      <c r="J243" s="124" t="str">
        <f>"(55)"</f>
        <v>(55)</v>
      </c>
      <c r="K243" s="91">
        <f>SUM(K238*1.2)</f>
        <v>0</v>
      </c>
      <c r="L243" s="92" t="str">
        <f>"(55)"</f>
        <v>(55)</v>
      </c>
      <c r="M243" s="123">
        <f>SUM(M238*1.22)</f>
        <v>6100</v>
      </c>
      <c r="N243" s="124" t="str">
        <f>"(55)"</f>
        <v>(55)</v>
      </c>
      <c r="O243" s="123">
        <f>SUM(O238*1.22)</f>
        <v>6100</v>
      </c>
      <c r="P243" s="94" t="str">
        <f>"(55)"</f>
        <v>(55)</v>
      </c>
    </row>
    <row r="244" spans="1:34" ht="16.5" x14ac:dyDescent="0.35">
      <c r="B244" s="1051" t="str">
        <f>'kuni 2025 detsember tegevuskava'!A98&amp;"/"&amp;'kuni 2025 detsember tegevuskava'!B98</f>
        <v>MKM/TTJA</v>
      </c>
      <c r="C244" s="1054" t="str">
        <f>'kuni 2025 detsember tegevuskava'!I98</f>
        <v>Puudub ülevaade, millisel määral on TTJA-s täidetud e-its nõuded</v>
      </c>
      <c r="D244" s="1054" t="str">
        <f>'kuni 2025 detsember tegevuskava'!J98</f>
        <v>e-its auditi hankimine ja läbiviimine</v>
      </c>
      <c r="E244" s="1057" t="str">
        <f>'kuni 2025 detsember tegevuskava'!K98</f>
        <v>Auditi raport on koostatud ja esitatud TTJA-le.</v>
      </c>
      <c r="F244" s="1054" t="str">
        <f>'kuni 2025 detsember tegevuskava'!P98&amp;"/"</f>
        <v>SF 21-27 (taotletav raha)/</v>
      </c>
      <c r="G244" s="984" cm="1">
        <f t="array" ref="G244">_xlfn.IFS('kuni 2025 detsember tegevuskava'!G98='kuni 2025 detsember tegevuskava'!$G$107,1,'kuni 2025 detsember tegevuskava'!G98='kuni 2025 detsember tegevuskava'!$G$108,2,'kuni 2025 detsember tegevuskava'!G98='kuni 2025 detsember tegevuskava'!$G$109,3,'kuni 2025 detsember tegevuskava'!G98='kuni 2025 detsember tegevuskava'!$G$110,4)</f>
        <v>2</v>
      </c>
      <c r="H244" s="177" cm="1">
        <f t="array" ref="H244">_xlfn.IFS(OR('kuni 2025 detsember tegevuskava'!P98='kuni 2025 detsember tegevuskava'!$P$107,'kuni 2025 detsember tegevuskava'!P98='kuni 2025 detsember tegevuskava'!$P$109,'kuni 2025 detsember tegevuskava'!P98='kuni 2025 detsember tegevuskava'!$P$110,'kuni 2025 detsember tegevuskava'!P98='kuni 2025 detsember tegevuskava'!$P$111),1,'kuni 2025 detsember tegevuskava'!P98='kuni 2025 detsember tegevuskava'!$P$112,2,'kuni 2025 detsember tegevuskava'!P98='kuni 2025 detsember tegevuskava'!$P$113,2,'kuni 2025 detsember tegevuskava'!P98='kuni 2025 detsember tegevuskava'!$P$108,3)</f>
        <v>2</v>
      </c>
      <c r="I244" s="125">
        <f>SUM(I245:I245)</f>
        <v>30000</v>
      </c>
      <c r="J244" s="126"/>
      <c r="K244" s="79">
        <f>SUM(K245:K245)</f>
        <v>0</v>
      </c>
      <c r="L244" s="81"/>
      <c r="M244" s="125">
        <f>SUM(M245:M245)</f>
        <v>30000</v>
      </c>
      <c r="N244" s="126"/>
      <c r="O244" s="79">
        <f>SUM(O245:O245)</f>
        <v>0</v>
      </c>
      <c r="P244" s="83"/>
    </row>
    <row r="245" spans="1:34" ht="16.5" x14ac:dyDescent="0.35">
      <c r="B245" s="1052"/>
      <c r="C245" s="1055"/>
      <c r="D245" s="1055"/>
      <c r="E245" s="1058"/>
      <c r="F245" s="1055"/>
      <c r="G245" s="983"/>
      <c r="H245" s="968"/>
      <c r="I245" s="100">
        <f>SUM(K245+M245+O245)</f>
        <v>30000</v>
      </c>
      <c r="J245" s="101" t="str">
        <f>"(55)"</f>
        <v>(55)</v>
      </c>
      <c r="K245" s="95">
        <f>'kuni 2025 detsember tegevuskava'!ZP98</f>
        <v>0</v>
      </c>
      <c r="L245" s="86" t="str">
        <f>"(55)"</f>
        <v>(55)</v>
      </c>
      <c r="M245" s="100">
        <f>'kuni 2025 detsember tegevuskava'!AC98</f>
        <v>30000</v>
      </c>
      <c r="N245" s="101" t="str">
        <f>"(55)"</f>
        <v>(55)</v>
      </c>
      <c r="O245" s="95">
        <f>'kuni 2025 detsember tegevuskava'!AF98</f>
        <v>0</v>
      </c>
      <c r="P245" s="88" t="str">
        <f>"(55)"</f>
        <v>(55)</v>
      </c>
    </row>
    <row r="246" spans="1:34" ht="16.5" x14ac:dyDescent="0.35">
      <c r="B246" s="1052"/>
      <c r="C246" s="1055"/>
      <c r="D246" s="1055"/>
      <c r="E246" s="1058"/>
      <c r="F246" s="1055"/>
      <c r="G246" s="983"/>
      <c r="H246" s="968"/>
      <c r="I246" s="144" t="s">
        <v>569</v>
      </c>
      <c r="J246" s="8"/>
      <c r="K246" s="8"/>
      <c r="L246" s="8"/>
      <c r="M246" s="8"/>
      <c r="N246" s="8"/>
      <c r="O246" s="8"/>
      <c r="P246" s="152"/>
    </row>
    <row r="247" spans="1:34" ht="16.5" x14ac:dyDescent="0.35">
      <c r="B247" s="1052"/>
      <c r="C247" s="1055"/>
      <c r="D247" s="1055"/>
      <c r="E247" s="1058"/>
      <c r="F247" s="1055"/>
      <c r="G247" s="983"/>
      <c r="H247" s="968"/>
      <c r="I247" s="96">
        <f>SUM(I248:I248)</f>
        <v>36600</v>
      </c>
      <c r="J247" s="97"/>
      <c r="K247" s="89">
        <f>SUM(K248:K248)</f>
        <v>0</v>
      </c>
      <c r="L247" s="90"/>
      <c r="M247" s="96">
        <f>SUM(M248:M248)</f>
        <v>36600</v>
      </c>
      <c r="N247" s="102"/>
      <c r="O247" s="96">
        <f>SUM(O248:O248)</f>
        <v>0</v>
      </c>
      <c r="P247" s="127"/>
    </row>
    <row r="248" spans="1:34" ht="17" thickBot="1" x14ac:dyDescent="0.4">
      <c r="B248" s="1053"/>
      <c r="C248" s="1056"/>
      <c r="D248" s="1056"/>
      <c r="E248" s="1059"/>
      <c r="F248" s="1056"/>
      <c r="G248" s="985"/>
      <c r="H248" s="176"/>
      <c r="I248" s="123">
        <f>SUM(K248+M248+O248)</f>
        <v>36600</v>
      </c>
      <c r="J248" s="124" t="str">
        <f>"(55)"</f>
        <v>(55)</v>
      </c>
      <c r="K248" s="91">
        <f>SUM(K245*1.2)</f>
        <v>0</v>
      </c>
      <c r="L248" s="92" t="str">
        <f>"(55)"</f>
        <v>(55)</v>
      </c>
      <c r="M248" s="123">
        <f>SUM(M245*1.22)</f>
        <v>36600</v>
      </c>
      <c r="N248" s="124" t="str">
        <f>"(55)"</f>
        <v>(55)</v>
      </c>
      <c r="O248" s="123">
        <f>SUM(O245*1.22)</f>
        <v>0</v>
      </c>
      <c r="P248" s="94" t="str">
        <f>"(55)"</f>
        <v>(55)</v>
      </c>
    </row>
    <row r="249" spans="1:34" ht="16.5" x14ac:dyDescent="0.35">
      <c r="B249" s="1051" t="str">
        <f>'kuni 2025 detsember tegevuskava'!A100&amp;"/"&amp;'kuni 2025 detsember tegevuskava'!B100</f>
        <v>MKM/TTJA</v>
      </c>
      <c r="C249" s="1054" t="str">
        <f>'kuni 2025 detsember tegevuskava'!I100</f>
        <v>Võib katkeda riiklik olukorra pilt GPS  kasutamisest  ja ei ole tuvastatavad küberründed GPS süsteemile</v>
      </c>
      <c r="D249" s="1054" t="str">
        <f>'kuni 2025 detsember tegevuskava'!J100</f>
        <v>GPS häirete reaalajas olukorra pildi teenus</v>
      </c>
      <c r="E249" s="1057" t="str">
        <f>'kuni 2025 detsember tegevuskava'!K100</f>
        <v xml:space="preserve"> Riikliku olukorrapilldi saamine GPS navigatsioonisüsteemide kasutatavusest ja häiretes Eesti territooriumil</v>
      </c>
      <c r="F249" s="1054" t="str">
        <f>'kuni 2025 detsember tegevuskava'!P100&amp;"/"</f>
        <v>RES IKT (vaja juurde taotleda)/</v>
      </c>
      <c r="G249" s="984" cm="1">
        <f t="array" ref="G249">_xlfn.IFS('kuni 2025 detsember tegevuskava'!G100='kuni 2025 detsember tegevuskava'!$G$107,1,'kuni 2025 detsember tegevuskava'!G100='kuni 2025 detsember tegevuskava'!$G$108,2,'kuni 2025 detsember tegevuskava'!G100='kuni 2025 detsember tegevuskava'!$G$109,3,'kuni 2025 detsember tegevuskava'!G100='kuni 2025 detsember tegevuskava'!$G$110,4)</f>
        <v>2</v>
      </c>
      <c r="H249" s="177" cm="1">
        <f t="array" ref="H249">_xlfn.IFS(OR('kuni 2025 detsember tegevuskava'!P100='kuni 2025 detsember tegevuskava'!$P$107,'kuni 2025 detsember tegevuskava'!P100='kuni 2025 detsember tegevuskava'!$P$109,'kuni 2025 detsember tegevuskava'!P100='kuni 2025 detsember tegevuskava'!$P$110,'kuni 2025 detsember tegevuskava'!P100='kuni 2025 detsember tegevuskava'!$P$111),1,'kuni 2025 detsember tegevuskava'!P100='kuni 2025 detsember tegevuskava'!$P$112,2,'kuni 2025 detsember tegevuskava'!P100='kuni 2025 detsember tegevuskava'!$P$113,2,'kuni 2025 detsember tegevuskava'!P100='kuni 2025 detsember tegevuskava'!$P$108,3)</f>
        <v>1</v>
      </c>
      <c r="I249" s="125">
        <f>SUM(I250:I250)</f>
        <v>50000</v>
      </c>
      <c r="J249" s="126"/>
      <c r="K249" s="79">
        <f>SUM(K250:K250)</f>
        <v>0</v>
      </c>
      <c r="L249" s="81"/>
      <c r="M249" s="125">
        <f>SUM(M250:M250)</f>
        <v>0</v>
      </c>
      <c r="N249" s="126"/>
      <c r="O249" s="79">
        <f>SUM(O250:O250)</f>
        <v>50000</v>
      </c>
      <c r="P249" s="83"/>
    </row>
    <row r="250" spans="1:34" ht="16.5" x14ac:dyDescent="0.35">
      <c r="B250" s="1052"/>
      <c r="C250" s="1055"/>
      <c r="D250" s="1055"/>
      <c r="E250" s="1058"/>
      <c r="F250" s="1055"/>
      <c r="G250" s="983"/>
      <c r="H250" s="968"/>
      <c r="I250" s="100">
        <f>SUM(K250+M250+O250)</f>
        <v>50000</v>
      </c>
      <c r="J250" s="101" t="str">
        <f>"(55)"</f>
        <v>(55)</v>
      </c>
      <c r="K250" s="95">
        <f>'kuni 2025 detsember tegevuskava'!ZP100</f>
        <v>0</v>
      </c>
      <c r="L250" s="86" t="str">
        <f>"(55)"</f>
        <v>(55)</v>
      </c>
      <c r="M250" s="100">
        <f>'kuni 2025 detsember tegevuskava'!AC100</f>
        <v>0</v>
      </c>
      <c r="N250" s="101" t="str">
        <f>"(55)"</f>
        <v>(55)</v>
      </c>
      <c r="O250" s="95">
        <f>'kuni 2025 detsember tegevuskava'!AF100</f>
        <v>50000</v>
      </c>
      <c r="P250" s="88" t="str">
        <f>"(55)"</f>
        <v>(55)</v>
      </c>
    </row>
    <row r="251" spans="1:34" ht="16.5" x14ac:dyDescent="0.35">
      <c r="B251" s="1052"/>
      <c r="C251" s="1055"/>
      <c r="D251" s="1055"/>
      <c r="E251" s="1058"/>
      <c r="F251" s="1055"/>
      <c r="G251" s="983"/>
      <c r="H251" s="968"/>
      <c r="I251" s="144" t="s">
        <v>569</v>
      </c>
      <c r="J251" s="8"/>
      <c r="K251" s="8"/>
      <c r="L251" s="8"/>
      <c r="M251" s="8"/>
      <c r="N251" s="8"/>
      <c r="O251" s="8"/>
      <c r="P251" s="152"/>
    </row>
    <row r="252" spans="1:34" ht="16.5" x14ac:dyDescent="0.35">
      <c r="B252" s="1052"/>
      <c r="C252" s="1055"/>
      <c r="D252" s="1055"/>
      <c r="E252" s="1058"/>
      <c r="F252" s="1055"/>
      <c r="G252" s="983"/>
      <c r="H252" s="968"/>
      <c r="I252" s="96">
        <f>SUM(I253:I253)</f>
        <v>61000</v>
      </c>
      <c r="J252" s="97"/>
      <c r="K252" s="89">
        <f>SUM(K253:K253)</f>
        <v>0</v>
      </c>
      <c r="L252" s="90"/>
      <c r="M252" s="96">
        <f>SUM(M253:M253)</f>
        <v>0</v>
      </c>
      <c r="N252" s="102"/>
      <c r="O252" s="96">
        <f>SUM(O253:O253)</f>
        <v>61000</v>
      </c>
      <c r="P252" s="127"/>
    </row>
    <row r="253" spans="1:34" ht="17" thickBot="1" x14ac:dyDescent="0.4">
      <c r="B253" s="1053"/>
      <c r="C253" s="1056"/>
      <c r="D253" s="1056"/>
      <c r="E253" s="1059"/>
      <c r="F253" s="1056"/>
      <c r="G253" s="985"/>
      <c r="H253" s="176"/>
      <c r="I253" s="123">
        <f>SUM(K253+M253+O253)</f>
        <v>61000</v>
      </c>
      <c r="J253" s="124" t="str">
        <f>"(55)"</f>
        <v>(55)</v>
      </c>
      <c r="K253" s="91">
        <f>SUM(K250*1.2)</f>
        <v>0</v>
      </c>
      <c r="L253" s="92" t="str">
        <f>"(55)"</f>
        <v>(55)</v>
      </c>
      <c r="M253" s="123">
        <f>SUM(M250*1.22)</f>
        <v>0</v>
      </c>
      <c r="N253" s="124" t="str">
        <f>"(55)"</f>
        <v>(55)</v>
      </c>
      <c r="O253" s="123">
        <f>SUM(O250*1.22)</f>
        <v>61000</v>
      </c>
      <c r="P253" s="94" t="str">
        <f>"(55)"</f>
        <v>(55)</v>
      </c>
    </row>
    <row r="254" spans="1:34" x14ac:dyDescent="0.35">
      <c r="B254" s="1110" t="s">
        <v>863</v>
      </c>
    </row>
    <row r="255" spans="1:34" ht="80.25" customHeight="1" x14ac:dyDescent="0.35">
      <c r="A255" s="994"/>
      <c r="B255" s="1050" t="s">
        <v>859</v>
      </c>
      <c r="C255" s="1050"/>
      <c r="D255" s="1050"/>
      <c r="E255" s="1050"/>
      <c r="F255" s="1050"/>
      <c r="G255" s="995"/>
      <c r="H255" s="995"/>
      <c r="I255" s="995"/>
      <c r="J255" s="995"/>
      <c r="K255" s="995"/>
      <c r="L255" s="995"/>
      <c r="M255" s="995"/>
      <c r="N255" s="995"/>
      <c r="O255" s="995"/>
      <c r="P255" s="995"/>
      <c r="Q255" s="994"/>
      <c r="R255" s="994"/>
      <c r="S255" s="994"/>
      <c r="T255" s="994"/>
      <c r="U255" s="994"/>
      <c r="V255" s="994"/>
      <c r="W255" s="994"/>
      <c r="X255" s="994"/>
      <c r="Y255" s="994"/>
      <c r="Z255" s="994"/>
      <c r="AA255" s="994"/>
      <c r="AB255" s="994"/>
      <c r="AC255" s="994"/>
      <c r="AD255" s="994"/>
      <c r="AE255" s="994"/>
      <c r="AF255" s="994"/>
      <c r="AG255" s="994"/>
      <c r="AH255" s="994"/>
    </row>
    <row r="256" spans="1:34" x14ac:dyDescent="0.35">
      <c r="A256" s="994"/>
      <c r="B256" s="996" t="s">
        <v>856</v>
      </c>
      <c r="C256" s="995"/>
      <c r="D256" s="995"/>
      <c r="E256" s="995"/>
      <c r="F256" s="995"/>
      <c r="G256" s="995"/>
      <c r="H256" s="995"/>
      <c r="I256" s="995"/>
      <c r="J256" s="995"/>
      <c r="K256" s="995"/>
      <c r="L256" s="995"/>
      <c r="M256" s="995"/>
      <c r="N256" s="995"/>
      <c r="O256" s="995"/>
      <c r="P256" s="995"/>
      <c r="Q256" s="994"/>
      <c r="R256" s="994"/>
      <c r="S256" s="994"/>
      <c r="T256" s="994"/>
      <c r="U256" s="994"/>
      <c r="V256" s="994"/>
      <c r="W256" s="994"/>
      <c r="X256" s="994"/>
      <c r="Y256" s="994"/>
      <c r="Z256" s="994"/>
      <c r="AA256" s="994"/>
      <c r="AB256" s="994"/>
      <c r="AC256" s="994"/>
      <c r="AD256" s="994"/>
      <c r="AE256" s="994"/>
      <c r="AF256" s="994"/>
      <c r="AG256" s="994"/>
      <c r="AH256" s="994"/>
    </row>
    <row r="257" spans="1:34" x14ac:dyDescent="0.35">
      <c r="A257" s="994"/>
      <c r="B257" s="996" t="s">
        <v>857</v>
      </c>
      <c r="C257" s="995"/>
      <c r="D257" s="995"/>
      <c r="E257" s="995"/>
      <c r="F257" s="995"/>
      <c r="G257" s="995"/>
      <c r="H257" s="995"/>
      <c r="I257" s="995"/>
      <c r="J257" s="995"/>
      <c r="K257" s="995"/>
      <c r="L257" s="995"/>
      <c r="M257" s="995"/>
      <c r="N257" s="995"/>
      <c r="O257" s="995"/>
      <c r="P257" s="995"/>
      <c r="Q257" s="994"/>
      <c r="R257" s="994"/>
      <c r="S257" s="994"/>
      <c r="T257" s="994"/>
      <c r="U257" s="994"/>
      <c r="V257" s="994"/>
      <c r="W257" s="994"/>
      <c r="X257" s="994"/>
      <c r="Y257" s="994"/>
      <c r="Z257" s="994"/>
      <c r="AA257" s="994"/>
      <c r="AB257" s="994"/>
      <c r="AC257" s="994"/>
      <c r="AD257" s="994"/>
      <c r="AE257" s="994"/>
      <c r="AF257" s="994"/>
      <c r="AG257" s="994"/>
      <c r="AH257" s="994"/>
    </row>
    <row r="258" spans="1:34" x14ac:dyDescent="0.35">
      <c r="A258" s="994"/>
      <c r="B258" s="997" t="s">
        <v>858</v>
      </c>
      <c r="C258" s="995"/>
      <c r="D258" s="995"/>
      <c r="E258" s="995"/>
      <c r="F258" s="995"/>
      <c r="G258" s="995"/>
      <c r="H258" s="995"/>
      <c r="I258" s="995"/>
      <c r="J258" s="995"/>
      <c r="K258" s="995"/>
      <c r="L258" s="995"/>
      <c r="M258" s="995"/>
      <c r="N258" s="995"/>
      <c r="O258" s="995"/>
      <c r="P258" s="995"/>
      <c r="Q258" s="994"/>
      <c r="R258" s="994"/>
      <c r="S258" s="994"/>
      <c r="T258" s="994"/>
      <c r="U258" s="994"/>
      <c r="V258" s="994"/>
      <c r="W258" s="994"/>
      <c r="X258" s="994"/>
      <c r="Y258" s="994"/>
      <c r="Z258" s="994"/>
      <c r="AA258" s="994"/>
      <c r="AB258" s="994"/>
      <c r="AC258" s="994"/>
      <c r="AD258" s="994"/>
      <c r="AE258" s="994"/>
      <c r="AF258" s="994"/>
      <c r="AG258" s="994"/>
      <c r="AH258" s="994"/>
    </row>
  </sheetData>
  <mergeCells count="206">
    <mergeCell ref="B219:B225"/>
    <mergeCell ref="C219:C225"/>
    <mergeCell ref="E202:E206"/>
    <mergeCell ref="E207:E211"/>
    <mergeCell ref="F219:F225"/>
    <mergeCell ref="F212:F218"/>
    <mergeCell ref="E219:E225"/>
    <mergeCell ref="D219:D225"/>
    <mergeCell ref="E212:E218"/>
    <mergeCell ref="F202:F206"/>
    <mergeCell ref="F207:F211"/>
    <mergeCell ref="D128:D134"/>
    <mergeCell ref="E128:E134"/>
    <mergeCell ref="F128:F134"/>
    <mergeCell ref="E171:E177"/>
    <mergeCell ref="E178:E182"/>
    <mergeCell ref="F178:F182"/>
    <mergeCell ref="F171:F177"/>
    <mergeCell ref="F156:F160"/>
    <mergeCell ref="F161:F165"/>
    <mergeCell ref="E135:E141"/>
    <mergeCell ref="D178:D182"/>
    <mergeCell ref="D166:D170"/>
    <mergeCell ref="D171:D177"/>
    <mergeCell ref="C35:C39"/>
    <mergeCell ref="B20:F20"/>
    <mergeCell ref="B12:F12"/>
    <mergeCell ref="B29:B30"/>
    <mergeCell ref="C29:C30"/>
    <mergeCell ref="D29:D30"/>
    <mergeCell ref="F29:H30"/>
    <mergeCell ref="B35:B39"/>
    <mergeCell ref="E35:E39"/>
    <mergeCell ref="F35:F39"/>
    <mergeCell ref="D35:D39"/>
    <mergeCell ref="B7:P7"/>
    <mergeCell ref="B10:P10"/>
    <mergeCell ref="B2:P2"/>
    <mergeCell ref="Q15:AA15"/>
    <mergeCell ref="Q16:AA16"/>
    <mergeCell ref="I29:J29"/>
    <mergeCell ref="Q17:AA17"/>
    <mergeCell ref="M29:N29"/>
    <mergeCell ref="I30:J30"/>
    <mergeCell ref="K30:L30"/>
    <mergeCell ref="M30:N30"/>
    <mergeCell ref="K29:L29"/>
    <mergeCell ref="O29:P29"/>
    <mergeCell ref="O30:P30"/>
    <mergeCell ref="B67:B71"/>
    <mergeCell ref="B72:B76"/>
    <mergeCell ref="B77:B81"/>
    <mergeCell ref="B82:B88"/>
    <mergeCell ref="B89:B93"/>
    <mergeCell ref="B40:B44"/>
    <mergeCell ref="B45:B49"/>
    <mergeCell ref="B50:B54"/>
    <mergeCell ref="B55:B61"/>
    <mergeCell ref="B62:B66"/>
    <mergeCell ref="B94:B98"/>
    <mergeCell ref="B99:B103"/>
    <mergeCell ref="B104:B108"/>
    <mergeCell ref="B109:B115"/>
    <mergeCell ref="B116:B120"/>
    <mergeCell ref="B156:B160"/>
    <mergeCell ref="B161:B165"/>
    <mergeCell ref="B135:B141"/>
    <mergeCell ref="B149:B155"/>
    <mergeCell ref="B128:B134"/>
    <mergeCell ref="C40:C44"/>
    <mergeCell ref="C45:C49"/>
    <mergeCell ref="C50:C54"/>
    <mergeCell ref="C55:C61"/>
    <mergeCell ref="C62:C66"/>
    <mergeCell ref="C67:C71"/>
    <mergeCell ref="C72:C76"/>
    <mergeCell ref="C77:C81"/>
    <mergeCell ref="C82:C88"/>
    <mergeCell ref="C109:C115"/>
    <mergeCell ref="B212:B218"/>
    <mergeCell ref="B166:B170"/>
    <mergeCell ref="C156:C160"/>
    <mergeCell ref="C161:C165"/>
    <mergeCell ref="C166:C170"/>
    <mergeCell ref="B171:B177"/>
    <mergeCell ref="B178:B182"/>
    <mergeCell ref="B197:B201"/>
    <mergeCell ref="C116:C120"/>
    <mergeCell ref="C183:C191"/>
    <mergeCell ref="C192:C196"/>
    <mergeCell ref="B183:B191"/>
    <mergeCell ref="B121:B127"/>
    <mergeCell ref="B142:B148"/>
    <mergeCell ref="C135:C141"/>
    <mergeCell ref="C128:C134"/>
    <mergeCell ref="C202:C206"/>
    <mergeCell ref="C207:C211"/>
    <mergeCell ref="B202:B206"/>
    <mergeCell ref="B207:B211"/>
    <mergeCell ref="B192:B196"/>
    <mergeCell ref="D40:D44"/>
    <mergeCell ref="D45:D49"/>
    <mergeCell ref="D50:D54"/>
    <mergeCell ref="D55:D61"/>
    <mergeCell ref="D62:D66"/>
    <mergeCell ref="D67:D71"/>
    <mergeCell ref="D72:D76"/>
    <mergeCell ref="D77:D81"/>
    <mergeCell ref="D82:D88"/>
    <mergeCell ref="D89:D93"/>
    <mergeCell ref="D94:D98"/>
    <mergeCell ref="D99:D103"/>
    <mergeCell ref="C212:C218"/>
    <mergeCell ref="D149:D155"/>
    <mergeCell ref="D156:D160"/>
    <mergeCell ref="D161:D165"/>
    <mergeCell ref="C121:C127"/>
    <mergeCell ref="C142:C148"/>
    <mergeCell ref="C149:C155"/>
    <mergeCell ref="C178:C182"/>
    <mergeCell ref="C171:C177"/>
    <mergeCell ref="C197:C201"/>
    <mergeCell ref="D192:D196"/>
    <mergeCell ref="D197:D201"/>
    <mergeCell ref="D202:D206"/>
    <mergeCell ref="D207:D211"/>
    <mergeCell ref="D183:D191"/>
    <mergeCell ref="D212:D218"/>
    <mergeCell ref="C89:C93"/>
    <mergeCell ref="C94:C98"/>
    <mergeCell ref="C99:C103"/>
    <mergeCell ref="C104:C108"/>
    <mergeCell ref="D142:D148"/>
    <mergeCell ref="D104:D108"/>
    <mergeCell ref="D109:D115"/>
    <mergeCell ref="D116:D120"/>
    <mergeCell ref="D121:D127"/>
    <mergeCell ref="D135:D141"/>
    <mergeCell ref="F166:F170"/>
    <mergeCell ref="F142:F148"/>
    <mergeCell ref="E40:E44"/>
    <mergeCell ref="E45:E49"/>
    <mergeCell ref="E50:E54"/>
    <mergeCell ref="E55:E61"/>
    <mergeCell ref="E62:E66"/>
    <mergeCell ref="E121:E127"/>
    <mergeCell ref="E142:E148"/>
    <mergeCell ref="E94:E98"/>
    <mergeCell ref="E99:E103"/>
    <mergeCell ref="E104:E108"/>
    <mergeCell ref="E109:E115"/>
    <mergeCell ref="E116:E120"/>
    <mergeCell ref="E67:E71"/>
    <mergeCell ref="E72:E76"/>
    <mergeCell ref="E77:E81"/>
    <mergeCell ref="E82:E88"/>
    <mergeCell ref="F82:F88"/>
    <mergeCell ref="E89:E93"/>
    <mergeCell ref="E156:E160"/>
    <mergeCell ref="E161:E165"/>
    <mergeCell ref="E166:E170"/>
    <mergeCell ref="E149:E155"/>
    <mergeCell ref="E183:E191"/>
    <mergeCell ref="E192:E196"/>
    <mergeCell ref="E197:E201"/>
    <mergeCell ref="F192:F196"/>
    <mergeCell ref="F197:F201"/>
    <mergeCell ref="F135:F141"/>
    <mergeCell ref="F109:F115"/>
    <mergeCell ref="F116:F120"/>
    <mergeCell ref="F121:F127"/>
    <mergeCell ref="F149:F155"/>
    <mergeCell ref="F183:F191"/>
    <mergeCell ref="F40:F44"/>
    <mergeCell ref="F45:F49"/>
    <mergeCell ref="F50:F54"/>
    <mergeCell ref="F55:F61"/>
    <mergeCell ref="F62:F66"/>
    <mergeCell ref="F67:F71"/>
    <mergeCell ref="F72:F76"/>
    <mergeCell ref="F77:F81"/>
    <mergeCell ref="F104:F108"/>
    <mergeCell ref="F89:F93"/>
    <mergeCell ref="F94:F98"/>
    <mergeCell ref="F99:F103"/>
    <mergeCell ref="B255:F255"/>
    <mergeCell ref="B226:B234"/>
    <mergeCell ref="C226:C234"/>
    <mergeCell ref="D226:D234"/>
    <mergeCell ref="E226:E234"/>
    <mergeCell ref="F226:F234"/>
    <mergeCell ref="B235:B243"/>
    <mergeCell ref="C235:C243"/>
    <mergeCell ref="D235:D243"/>
    <mergeCell ref="E235:E243"/>
    <mergeCell ref="F235:F243"/>
    <mergeCell ref="F249:F253"/>
    <mergeCell ref="B249:B253"/>
    <mergeCell ref="C249:C253"/>
    <mergeCell ref="D249:D253"/>
    <mergeCell ref="E249:E253"/>
    <mergeCell ref="B244:B248"/>
    <mergeCell ref="C244:C248"/>
    <mergeCell ref="D244:D248"/>
    <mergeCell ref="E244:E248"/>
    <mergeCell ref="F244:F248"/>
  </mergeCells>
  <pageMargins left="0.25" right="0.25" top="0.75" bottom="0.75" header="0.3" footer="0.3"/>
  <pageSetup paperSize="9" scale="6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0A711-8F00-4DAA-935E-9C5996CA542D}">
  <sheetPr codeName="Leht5"/>
  <dimension ref="A2:I111"/>
  <sheetViews>
    <sheetView zoomScale="85" zoomScaleNormal="85" workbookViewId="0">
      <selection activeCell="E65" sqref="E65"/>
    </sheetView>
  </sheetViews>
  <sheetFormatPr defaultColWidth="9.1796875" defaultRowHeight="14.5" x14ac:dyDescent="0.35"/>
  <cols>
    <col min="1" max="1" width="9.1796875" style="1"/>
    <col min="2" max="2" width="22.1796875" style="1" customWidth="1"/>
    <col min="3" max="5" width="18" style="1" customWidth="1"/>
    <col min="6" max="6" width="15.54296875" style="1" customWidth="1"/>
    <col min="7" max="7" width="12.1796875" style="1" customWidth="1"/>
    <col min="8" max="8" width="12.81640625" style="1" customWidth="1"/>
    <col min="9" max="9" width="11.81640625" style="1" customWidth="1"/>
    <col min="10" max="10" width="11.54296875" style="1" customWidth="1"/>
    <col min="11" max="11" width="13.1796875" style="1" customWidth="1"/>
    <col min="12" max="12" width="11.81640625" style="1" customWidth="1"/>
    <col min="13" max="22" width="9.1796875" style="1"/>
    <col min="23" max="23" width="12.1796875" style="1" bestFit="1" customWidth="1"/>
    <col min="24" max="16384" width="9.1796875" style="1"/>
  </cols>
  <sheetData>
    <row r="2" spans="1:8" ht="18.5" x14ac:dyDescent="0.35">
      <c r="A2" s="116" t="s">
        <v>499</v>
      </c>
      <c r="B2" s="116"/>
    </row>
    <row r="4" spans="1:8" x14ac:dyDescent="0.35">
      <c r="B4" s="189" t="s">
        <v>570</v>
      </c>
      <c r="C4" s="1083" t="s">
        <v>571</v>
      </c>
      <c r="D4" s="1083"/>
      <c r="E4" s="1083"/>
      <c r="F4" s="1083"/>
    </row>
    <row r="5" spans="1:8" x14ac:dyDescent="0.35">
      <c r="B5" s="189"/>
      <c r="C5" s="188" t="s">
        <v>572</v>
      </c>
      <c r="D5" s="188" t="s">
        <v>573</v>
      </c>
      <c r="E5" s="188" t="s">
        <v>574</v>
      </c>
      <c r="F5" s="188" t="s">
        <v>575</v>
      </c>
    </row>
    <row r="6" spans="1:8" x14ac:dyDescent="0.35">
      <c r="B6" s="189" t="s">
        <v>576</v>
      </c>
      <c r="C6" s="190">
        <f>SUM(C7:C9)</f>
        <v>45</v>
      </c>
      <c r="D6" s="190">
        <f t="shared" ref="D6:E6" si="0">SUM(D7:D9)</f>
        <v>36</v>
      </c>
      <c r="E6" s="190">
        <f t="shared" si="0"/>
        <v>9</v>
      </c>
      <c r="F6" s="191">
        <f>SUM(D6/C6)</f>
        <v>0.8</v>
      </c>
    </row>
    <row r="7" spans="1:8" x14ac:dyDescent="0.35">
      <c r="B7" s="166" t="s">
        <v>577</v>
      </c>
      <c r="C7" s="192">
        <v>10</v>
      </c>
      <c r="D7" s="192">
        <v>8</v>
      </c>
      <c r="E7" s="192">
        <f>SUM(C7-D7)</f>
        <v>2</v>
      </c>
      <c r="F7" s="193">
        <f>SUM(D7/C7)</f>
        <v>0.8</v>
      </c>
      <c r="G7" s="117"/>
      <c r="H7" s="118"/>
    </row>
    <row r="8" spans="1:8" x14ac:dyDescent="0.35">
      <c r="B8" s="166" t="s">
        <v>578</v>
      </c>
      <c r="C8" s="192">
        <v>15</v>
      </c>
      <c r="D8" s="192">
        <v>12</v>
      </c>
      <c r="E8" s="192">
        <f>SUM(C8-D8)</f>
        <v>3</v>
      </c>
      <c r="F8" s="193">
        <f>SUM(D8/C8)</f>
        <v>0.8</v>
      </c>
      <c r="G8" s="117"/>
    </row>
    <row r="9" spans="1:8" x14ac:dyDescent="0.35">
      <c r="B9" s="166" t="s">
        <v>579</v>
      </c>
      <c r="C9" s="192">
        <v>20</v>
      </c>
      <c r="D9" s="192">
        <v>16</v>
      </c>
      <c r="E9" s="192">
        <f>SUM(C9-D9)</f>
        <v>4</v>
      </c>
      <c r="F9" s="193">
        <f>SUM(D9/C9)</f>
        <v>0.8</v>
      </c>
    </row>
    <row r="18" spans="2:6" x14ac:dyDescent="0.35">
      <c r="B18" s="1085" t="s">
        <v>580</v>
      </c>
      <c r="C18" s="1083" t="s">
        <v>571</v>
      </c>
      <c r="D18" s="1083"/>
      <c r="E18" s="1083"/>
      <c r="F18" s="1083"/>
    </row>
    <row r="19" spans="2:6" x14ac:dyDescent="0.35">
      <c r="B19" s="1085"/>
      <c r="C19" s="188" t="s">
        <v>572</v>
      </c>
      <c r="D19" s="188" t="s">
        <v>573</v>
      </c>
      <c r="E19" s="188" t="s">
        <v>574</v>
      </c>
      <c r="F19" s="188" t="s">
        <v>575</v>
      </c>
    </row>
    <row r="20" spans="2:6" x14ac:dyDescent="0.35">
      <c r="B20" s="189" t="s">
        <v>576</v>
      </c>
      <c r="C20" s="190">
        <f>SUM(C21:C24)</f>
        <v>45</v>
      </c>
      <c r="D20" s="190">
        <f t="shared" ref="D20:E20" si="1">SUM(D21:D24)</f>
        <v>40</v>
      </c>
      <c r="E20" s="190">
        <f t="shared" si="1"/>
        <v>5</v>
      </c>
      <c r="F20" s="191">
        <f>SUM(D20/C20)</f>
        <v>0.88888888888888884</v>
      </c>
    </row>
    <row r="21" spans="2:6" x14ac:dyDescent="0.35">
      <c r="B21" s="166" t="s">
        <v>581</v>
      </c>
      <c r="C21" s="192">
        <v>12</v>
      </c>
      <c r="D21" s="192">
        <v>11</v>
      </c>
      <c r="E21" s="192">
        <f>SUM(C21-D21)</f>
        <v>1</v>
      </c>
      <c r="F21" s="193">
        <f>SUM(D21/C21)</f>
        <v>0.91666666666666663</v>
      </c>
    </row>
    <row r="22" spans="2:6" x14ac:dyDescent="0.35">
      <c r="B22" s="166" t="s">
        <v>582</v>
      </c>
      <c r="C22" s="192">
        <v>10</v>
      </c>
      <c r="D22" s="192">
        <v>10</v>
      </c>
      <c r="E22" s="192">
        <f>SUM(C22-D22)</f>
        <v>0</v>
      </c>
      <c r="F22" s="193">
        <f>SUM(D22/C22)</f>
        <v>1</v>
      </c>
    </row>
    <row r="23" spans="2:6" x14ac:dyDescent="0.35">
      <c r="B23" s="166" t="s">
        <v>583</v>
      </c>
      <c r="C23" s="192">
        <v>15</v>
      </c>
      <c r="D23" s="192">
        <v>13</v>
      </c>
      <c r="E23" s="192">
        <f>SUM(C23-D23)</f>
        <v>2</v>
      </c>
      <c r="F23" s="193">
        <f>SUM(D23/C23)</f>
        <v>0.8666666666666667</v>
      </c>
    </row>
    <row r="24" spans="2:6" x14ac:dyDescent="0.35">
      <c r="B24" s="166" t="s">
        <v>584</v>
      </c>
      <c r="C24" s="192">
        <v>8</v>
      </c>
      <c r="D24" s="192">
        <v>6</v>
      </c>
      <c r="E24" s="192">
        <f>SUM(C24-D24)</f>
        <v>2</v>
      </c>
      <c r="F24" s="193">
        <f>SUM(D24/C24)</f>
        <v>0.75</v>
      </c>
    </row>
    <row r="33" spans="1:3" ht="18.5" x14ac:dyDescent="0.35">
      <c r="A33" s="116" t="s">
        <v>585</v>
      </c>
      <c r="B33" s="116"/>
    </row>
    <row r="35" spans="1:3" x14ac:dyDescent="0.35">
      <c r="B35" s="194" t="s">
        <v>586</v>
      </c>
      <c r="C35" s="188">
        <v>2024</v>
      </c>
    </row>
    <row r="36" spans="1:3" x14ac:dyDescent="0.35">
      <c r="B36" s="194" t="s">
        <v>487</v>
      </c>
      <c r="C36" s="190">
        <f>SUM(C37:C39)</f>
        <v>47</v>
      </c>
    </row>
    <row r="37" spans="1:3" x14ac:dyDescent="0.35">
      <c r="B37" s="166" t="s">
        <v>577</v>
      </c>
      <c r="C37" s="192">
        <v>20</v>
      </c>
    </row>
    <row r="38" spans="1:3" x14ac:dyDescent="0.35">
      <c r="B38" s="166" t="s">
        <v>578</v>
      </c>
      <c r="C38" s="192">
        <v>15</v>
      </c>
    </row>
    <row r="39" spans="1:3" x14ac:dyDescent="0.35">
      <c r="B39" s="166" t="s">
        <v>579</v>
      </c>
      <c r="C39" s="192">
        <v>12</v>
      </c>
    </row>
    <row r="41" spans="1:3" x14ac:dyDescent="0.35">
      <c r="B41" s="194" t="s">
        <v>587</v>
      </c>
      <c r="C41" s="188">
        <v>2024</v>
      </c>
    </row>
    <row r="42" spans="1:3" x14ac:dyDescent="0.35">
      <c r="B42" s="194" t="s">
        <v>487</v>
      </c>
      <c r="C42" s="190">
        <f>SUM(C43:C46)</f>
        <v>47</v>
      </c>
    </row>
    <row r="43" spans="1:3" x14ac:dyDescent="0.35">
      <c r="B43" s="166" t="s">
        <v>581</v>
      </c>
      <c r="C43" s="192">
        <v>13</v>
      </c>
    </row>
    <row r="44" spans="1:3" x14ac:dyDescent="0.35">
      <c r="B44" s="166" t="s">
        <v>582</v>
      </c>
      <c r="C44" s="192">
        <v>11</v>
      </c>
    </row>
    <row r="45" spans="1:3" x14ac:dyDescent="0.35">
      <c r="B45" s="166" t="s">
        <v>583</v>
      </c>
      <c r="C45" s="192">
        <v>15</v>
      </c>
    </row>
    <row r="46" spans="1:3" x14ac:dyDescent="0.35">
      <c r="B46" s="166" t="s">
        <v>584</v>
      </c>
      <c r="C46" s="192">
        <v>8</v>
      </c>
    </row>
    <row r="49" spans="1:9" ht="18.5" x14ac:dyDescent="0.35">
      <c r="A49" s="116" t="s">
        <v>588</v>
      </c>
    </row>
    <row r="51" spans="1:9" x14ac:dyDescent="0.35">
      <c r="B51" s="128"/>
      <c r="C51" s="198"/>
      <c r="D51" s="198"/>
    </row>
    <row r="52" spans="1:9" ht="30" x14ac:dyDescent="0.35">
      <c r="B52" s="194" t="s">
        <v>589</v>
      </c>
      <c r="C52" s="200">
        <v>44197</v>
      </c>
      <c r="D52" s="200">
        <v>44562</v>
      </c>
      <c r="E52" s="200">
        <v>44927</v>
      </c>
      <c r="F52" s="200">
        <v>45292</v>
      </c>
      <c r="G52" s="188" t="s">
        <v>590</v>
      </c>
      <c r="H52" s="188" t="s">
        <v>591</v>
      </c>
      <c r="I52" s="188" t="s">
        <v>592</v>
      </c>
    </row>
    <row r="53" spans="1:9" x14ac:dyDescent="0.35">
      <c r="B53" s="197" t="s">
        <v>593</v>
      </c>
      <c r="C53" s="192">
        <v>121</v>
      </c>
      <c r="D53" s="192">
        <v>125</v>
      </c>
      <c r="E53" s="192">
        <v>129</v>
      </c>
      <c r="F53" s="192">
        <v>140</v>
      </c>
      <c r="G53" s="192">
        <v>144</v>
      </c>
      <c r="H53" s="192">
        <v>149</v>
      </c>
      <c r="I53" s="192">
        <v>155</v>
      </c>
    </row>
    <row r="54" spans="1:9" ht="26" x14ac:dyDescent="0.35">
      <c r="B54" s="197" t="s">
        <v>594</v>
      </c>
      <c r="C54" s="197">
        <v>0</v>
      </c>
      <c r="D54" s="204">
        <f t="shared" ref="D54:I54" si="2">SUM(((D53/C53)*100)-100)</f>
        <v>3.3057851239669276</v>
      </c>
      <c r="E54" s="204">
        <f t="shared" si="2"/>
        <v>3.2000000000000028</v>
      </c>
      <c r="F54" s="204">
        <f t="shared" si="2"/>
        <v>8.5271317829457303</v>
      </c>
      <c r="G54" s="204">
        <f t="shared" si="2"/>
        <v>2.857142857142847</v>
      </c>
      <c r="H54" s="204">
        <f t="shared" si="2"/>
        <v>3.4722222222222285</v>
      </c>
      <c r="I54" s="204">
        <f t="shared" si="2"/>
        <v>4.0268456375838895</v>
      </c>
    </row>
    <row r="55" spans="1:9" x14ac:dyDescent="0.35">
      <c r="B55" s="1086" t="s">
        <v>595</v>
      </c>
      <c r="C55" s="1087"/>
      <c r="D55" s="1087"/>
      <c r="E55" s="1087"/>
      <c r="F55" s="1087"/>
      <c r="G55" s="1087"/>
      <c r="H55" s="1087"/>
      <c r="I55" s="1088"/>
    </row>
    <row r="56" spans="1:9" x14ac:dyDescent="0.35">
      <c r="B56" s="199"/>
      <c r="C56" s="199"/>
      <c r="D56" s="199"/>
      <c r="E56" s="199"/>
      <c r="F56" s="199"/>
      <c r="G56" s="199"/>
      <c r="H56" s="199"/>
    </row>
    <row r="57" spans="1:9" x14ac:dyDescent="0.35">
      <c r="B57" s="199"/>
      <c r="C57" s="199"/>
      <c r="D57" s="199"/>
      <c r="E57" s="199"/>
      <c r="F57" s="199"/>
      <c r="G57" s="199"/>
      <c r="H57" s="199"/>
    </row>
    <row r="58" spans="1:9" x14ac:dyDescent="0.35">
      <c r="B58" s="199"/>
      <c r="C58" s="199"/>
      <c r="D58" s="199"/>
      <c r="E58" s="205"/>
      <c r="F58" s="205"/>
      <c r="G58" s="205"/>
      <c r="H58" s="205"/>
      <c r="I58" s="205"/>
    </row>
    <row r="59" spans="1:9" x14ac:dyDescent="0.35">
      <c r="B59" s="199"/>
      <c r="C59" s="199"/>
      <c r="D59" s="199"/>
      <c r="E59" s="199"/>
      <c r="F59" s="199"/>
      <c r="G59" s="199"/>
      <c r="H59" s="199"/>
    </row>
    <row r="60" spans="1:9" x14ac:dyDescent="0.35">
      <c r="B60" s="199"/>
      <c r="C60" s="199"/>
      <c r="D60" s="199"/>
      <c r="E60" s="199"/>
      <c r="F60" s="199"/>
      <c r="G60" s="199"/>
      <c r="H60" s="199"/>
    </row>
    <row r="61" spans="1:9" x14ac:dyDescent="0.35">
      <c r="B61" s="199"/>
      <c r="C61" s="199"/>
      <c r="D61" s="199"/>
      <c r="E61" s="199"/>
      <c r="F61" s="199"/>
      <c r="G61" s="199"/>
      <c r="H61" s="199"/>
    </row>
    <row r="62" spans="1:9" x14ac:dyDescent="0.35">
      <c r="B62" s="199"/>
      <c r="C62" s="199"/>
      <c r="D62" s="199"/>
      <c r="E62" s="199"/>
      <c r="F62" s="199"/>
      <c r="G62" s="199"/>
      <c r="H62" s="199"/>
    </row>
    <row r="63" spans="1:9" x14ac:dyDescent="0.35">
      <c r="B63" s="199"/>
      <c r="C63" s="199"/>
      <c r="D63" s="199"/>
      <c r="E63" s="199"/>
      <c r="F63" s="199"/>
      <c r="G63" s="199"/>
      <c r="H63" s="199"/>
    </row>
    <row r="64" spans="1:9" x14ac:dyDescent="0.35">
      <c r="B64" s="199"/>
      <c r="C64" s="199"/>
      <c r="D64" s="199"/>
      <c r="E64" s="199"/>
      <c r="F64" s="199"/>
      <c r="G64" s="199"/>
      <c r="H64" s="199"/>
    </row>
    <row r="65" spans="2:8" x14ac:dyDescent="0.35">
      <c r="B65" s="199"/>
      <c r="C65" s="199"/>
      <c r="D65" s="199"/>
      <c r="E65" s="199"/>
      <c r="F65" s="199"/>
      <c r="G65" s="199"/>
      <c r="H65" s="199"/>
    </row>
    <row r="66" spans="2:8" x14ac:dyDescent="0.35">
      <c r="B66" s="199"/>
      <c r="C66" s="199"/>
      <c r="D66" s="199"/>
      <c r="E66" s="199"/>
      <c r="F66" s="199"/>
      <c r="G66" s="199"/>
      <c r="H66" s="199"/>
    </row>
    <row r="67" spans="2:8" x14ac:dyDescent="0.35">
      <c r="B67" s="199"/>
      <c r="C67" s="199"/>
      <c r="D67" s="199"/>
      <c r="E67" s="199"/>
      <c r="F67" s="199"/>
      <c r="G67" s="199"/>
      <c r="H67" s="199"/>
    </row>
    <row r="68" spans="2:8" x14ac:dyDescent="0.35">
      <c r="B68" s="199"/>
      <c r="C68" s="199"/>
      <c r="D68" s="199"/>
      <c r="E68" s="199"/>
      <c r="F68" s="199"/>
      <c r="G68" s="199"/>
      <c r="H68" s="199"/>
    </row>
    <row r="69" spans="2:8" x14ac:dyDescent="0.35">
      <c r="B69" s="128"/>
      <c r="C69" s="1083" t="s">
        <v>596</v>
      </c>
      <c r="D69" s="1084"/>
      <c r="E69" s="1084"/>
      <c r="F69" s="1083" t="s">
        <v>597</v>
      </c>
      <c r="G69" s="1084"/>
      <c r="H69" s="1084"/>
    </row>
    <row r="70" spans="2:8" x14ac:dyDescent="0.35">
      <c r="B70" s="194" t="s">
        <v>598</v>
      </c>
      <c r="C70" s="201" t="s">
        <v>599</v>
      </c>
      <c r="D70" s="202" t="s">
        <v>600</v>
      </c>
      <c r="E70" s="202" t="s">
        <v>487</v>
      </c>
      <c r="F70" s="201" t="s">
        <v>599</v>
      </c>
      <c r="G70" s="202" t="s">
        <v>600</v>
      </c>
      <c r="H70" s="202" t="s">
        <v>487</v>
      </c>
    </row>
    <row r="71" spans="2:8" x14ac:dyDescent="0.35">
      <c r="B71" s="195" t="s">
        <v>487</v>
      </c>
      <c r="C71" s="196">
        <f t="shared" ref="C71:H71" si="3">SUM(C72:C83)</f>
        <v>26</v>
      </c>
      <c r="D71" s="196">
        <f t="shared" si="3"/>
        <v>9</v>
      </c>
      <c r="E71" s="196">
        <f t="shared" si="3"/>
        <v>35</v>
      </c>
      <c r="F71" s="196">
        <f t="shared" si="3"/>
        <v>28</v>
      </c>
      <c r="G71" s="196">
        <f t="shared" si="3"/>
        <v>17</v>
      </c>
      <c r="H71" s="196">
        <f t="shared" si="3"/>
        <v>45</v>
      </c>
    </row>
    <row r="72" spans="2:8" x14ac:dyDescent="0.35">
      <c r="B72" s="167" t="s">
        <v>601</v>
      </c>
      <c r="C72" s="192">
        <v>2</v>
      </c>
      <c r="D72" s="192">
        <v>1</v>
      </c>
      <c r="E72" s="180">
        <f t="shared" ref="E72:E83" si="4">SUM(C72:D72)</f>
        <v>3</v>
      </c>
      <c r="F72" s="192">
        <v>2</v>
      </c>
      <c r="G72" s="192">
        <v>1</v>
      </c>
      <c r="H72" s="180">
        <f t="shared" ref="H72:H83" si="5">SUM(F72:G72)</f>
        <v>3</v>
      </c>
    </row>
    <row r="73" spans="2:8" ht="26" x14ac:dyDescent="0.35">
      <c r="B73" s="167" t="s">
        <v>602</v>
      </c>
      <c r="C73" s="192">
        <v>3</v>
      </c>
      <c r="D73" s="192">
        <v>0</v>
      </c>
      <c r="E73" s="180">
        <f t="shared" si="4"/>
        <v>3</v>
      </c>
      <c r="F73" s="192">
        <v>5</v>
      </c>
      <c r="G73" s="192">
        <v>0</v>
      </c>
      <c r="H73" s="180">
        <f t="shared" si="5"/>
        <v>5</v>
      </c>
    </row>
    <row r="74" spans="2:8" x14ac:dyDescent="0.35">
      <c r="B74" s="167" t="s">
        <v>603</v>
      </c>
      <c r="C74" s="192">
        <v>2</v>
      </c>
      <c r="D74" s="192">
        <v>0</v>
      </c>
      <c r="E74" s="180">
        <f t="shared" si="4"/>
        <v>2</v>
      </c>
      <c r="F74" s="192">
        <v>2</v>
      </c>
      <c r="G74" s="192">
        <v>8</v>
      </c>
      <c r="H74" s="180">
        <f t="shared" si="5"/>
        <v>10</v>
      </c>
    </row>
    <row r="75" spans="2:8" ht="26" x14ac:dyDescent="0.35">
      <c r="B75" s="167" t="s">
        <v>604</v>
      </c>
      <c r="C75" s="192">
        <v>2</v>
      </c>
      <c r="D75" s="192">
        <v>2</v>
      </c>
      <c r="E75" s="180">
        <f t="shared" si="4"/>
        <v>4</v>
      </c>
      <c r="F75" s="192">
        <v>2</v>
      </c>
      <c r="G75" s="192">
        <v>2</v>
      </c>
      <c r="H75" s="180">
        <f t="shared" si="5"/>
        <v>4</v>
      </c>
    </row>
    <row r="76" spans="2:8" x14ac:dyDescent="0.35">
      <c r="B76" s="167" t="s">
        <v>605</v>
      </c>
      <c r="C76" s="192">
        <v>4</v>
      </c>
      <c r="D76" s="192">
        <v>2</v>
      </c>
      <c r="E76" s="180">
        <f t="shared" si="4"/>
        <v>6</v>
      </c>
      <c r="F76" s="192">
        <v>4</v>
      </c>
      <c r="G76" s="192">
        <v>2</v>
      </c>
      <c r="H76" s="180">
        <f t="shared" si="5"/>
        <v>6</v>
      </c>
    </row>
    <row r="77" spans="2:8" x14ac:dyDescent="0.35">
      <c r="B77" s="167" t="s">
        <v>606</v>
      </c>
      <c r="C77" s="192">
        <v>0</v>
      </c>
      <c r="D77" s="192">
        <v>0</v>
      </c>
      <c r="E77" s="180">
        <f t="shared" si="4"/>
        <v>0</v>
      </c>
      <c r="F77" s="192">
        <v>0</v>
      </c>
      <c r="G77" s="192">
        <v>0</v>
      </c>
      <c r="H77" s="180">
        <f t="shared" si="5"/>
        <v>0</v>
      </c>
    </row>
    <row r="78" spans="2:8" x14ac:dyDescent="0.35">
      <c r="B78" s="167" t="s">
        <v>607</v>
      </c>
      <c r="C78" s="192">
        <v>2</v>
      </c>
      <c r="D78" s="192">
        <v>0</v>
      </c>
      <c r="E78" s="180">
        <f t="shared" si="4"/>
        <v>2</v>
      </c>
      <c r="F78" s="192">
        <v>2</v>
      </c>
      <c r="G78" s="192">
        <v>0</v>
      </c>
      <c r="H78" s="180">
        <f t="shared" si="5"/>
        <v>2</v>
      </c>
    </row>
    <row r="79" spans="2:8" x14ac:dyDescent="0.35">
      <c r="B79" s="167" t="s">
        <v>608</v>
      </c>
      <c r="C79" s="192">
        <v>2</v>
      </c>
      <c r="D79" s="192">
        <v>1</v>
      </c>
      <c r="E79" s="180">
        <f t="shared" si="4"/>
        <v>3</v>
      </c>
      <c r="F79" s="192">
        <v>2</v>
      </c>
      <c r="G79" s="192">
        <v>1</v>
      </c>
      <c r="H79" s="180">
        <f t="shared" si="5"/>
        <v>3</v>
      </c>
    </row>
    <row r="80" spans="2:8" x14ac:dyDescent="0.35">
      <c r="B80" s="167" t="s">
        <v>609</v>
      </c>
      <c r="C80" s="192">
        <v>1</v>
      </c>
      <c r="D80" s="192">
        <v>0</v>
      </c>
      <c r="E80" s="180">
        <f t="shared" si="4"/>
        <v>1</v>
      </c>
      <c r="F80" s="192">
        <v>1</v>
      </c>
      <c r="G80" s="192">
        <v>0</v>
      </c>
      <c r="H80" s="180">
        <f t="shared" si="5"/>
        <v>1</v>
      </c>
    </row>
    <row r="81" spans="2:8" x14ac:dyDescent="0.35">
      <c r="B81" s="167" t="s">
        <v>610</v>
      </c>
      <c r="C81" s="192">
        <v>5</v>
      </c>
      <c r="D81" s="192">
        <v>2</v>
      </c>
      <c r="E81" s="180">
        <f t="shared" si="4"/>
        <v>7</v>
      </c>
      <c r="F81" s="192">
        <v>5</v>
      </c>
      <c r="G81" s="192">
        <v>2</v>
      </c>
      <c r="H81" s="180">
        <f t="shared" si="5"/>
        <v>7</v>
      </c>
    </row>
    <row r="82" spans="2:8" x14ac:dyDescent="0.35">
      <c r="B82" s="167" t="s">
        <v>611</v>
      </c>
      <c r="C82" s="192">
        <v>3</v>
      </c>
      <c r="D82" s="192">
        <v>1</v>
      </c>
      <c r="E82" s="180">
        <f>SUM(C82:D82)</f>
        <v>4</v>
      </c>
      <c r="F82" s="192">
        <v>3</v>
      </c>
      <c r="G82" s="192">
        <v>1</v>
      </c>
      <c r="H82" s="180">
        <f>SUM(F82:G82)</f>
        <v>4</v>
      </c>
    </row>
    <row r="83" spans="2:8" x14ac:dyDescent="0.35">
      <c r="B83" s="167" t="s">
        <v>612</v>
      </c>
      <c r="C83" s="192"/>
      <c r="D83" s="192"/>
      <c r="E83" s="180">
        <f t="shared" si="4"/>
        <v>0</v>
      </c>
      <c r="F83" s="181"/>
      <c r="G83" s="181"/>
      <c r="H83" s="180">
        <f t="shared" si="5"/>
        <v>0</v>
      </c>
    </row>
    <row r="84" spans="2:8" x14ac:dyDescent="0.35">
      <c r="B84" s="203" t="s">
        <v>613</v>
      </c>
    </row>
    <row r="87" spans="2:8" x14ac:dyDescent="0.35">
      <c r="B87" s="173" t="s">
        <v>614</v>
      </c>
      <c r="C87" s="1" t="s">
        <v>615</v>
      </c>
    </row>
    <row r="88" spans="2:8" x14ac:dyDescent="0.35">
      <c r="B88" s="173" t="s">
        <v>616</v>
      </c>
      <c r="C88" s="1" t="s">
        <v>617</v>
      </c>
    </row>
    <row r="89" spans="2:8" x14ac:dyDescent="0.35">
      <c r="B89" s="173" t="s">
        <v>618</v>
      </c>
      <c r="C89" s="1" t="s">
        <v>619</v>
      </c>
    </row>
    <row r="90" spans="2:8" x14ac:dyDescent="0.35">
      <c r="B90" s="173" t="s">
        <v>620</v>
      </c>
      <c r="C90" s="1" t="s">
        <v>621</v>
      </c>
    </row>
    <row r="91" spans="2:8" x14ac:dyDescent="0.35">
      <c r="B91" s="173" t="s">
        <v>622</v>
      </c>
      <c r="C91" s="1" t="s">
        <v>623</v>
      </c>
    </row>
    <row r="92" spans="2:8" x14ac:dyDescent="0.35">
      <c r="B92" s="173" t="s">
        <v>624</v>
      </c>
      <c r="C92" s="1" t="s">
        <v>625</v>
      </c>
    </row>
    <row r="93" spans="2:8" x14ac:dyDescent="0.35">
      <c r="B93" s="173" t="s">
        <v>626</v>
      </c>
      <c r="C93" s="1" t="s">
        <v>627</v>
      </c>
    </row>
    <row r="94" spans="2:8" x14ac:dyDescent="0.35">
      <c r="B94" s="173" t="s">
        <v>628</v>
      </c>
      <c r="C94" s="1" t="s">
        <v>629</v>
      </c>
    </row>
    <row r="95" spans="2:8" x14ac:dyDescent="0.35">
      <c r="B95" s="173" t="s">
        <v>630</v>
      </c>
      <c r="C95" s="1" t="s">
        <v>631</v>
      </c>
    </row>
    <row r="96" spans="2:8" x14ac:dyDescent="0.35">
      <c r="B96" s="173" t="s">
        <v>632</v>
      </c>
      <c r="C96" s="1" t="s">
        <v>633</v>
      </c>
    </row>
    <row r="97" spans="2:3" x14ac:dyDescent="0.35">
      <c r="B97" s="173" t="s">
        <v>634</v>
      </c>
      <c r="C97" s="1" t="s">
        <v>635</v>
      </c>
    </row>
    <row r="98" spans="2:3" x14ac:dyDescent="0.35">
      <c r="C98" s="1" t="s">
        <v>636</v>
      </c>
    </row>
    <row r="99" spans="2:3" x14ac:dyDescent="0.35">
      <c r="C99" s="1" t="s">
        <v>637</v>
      </c>
    </row>
    <row r="100" spans="2:3" x14ac:dyDescent="0.35">
      <c r="C100" s="1" t="s">
        <v>638</v>
      </c>
    </row>
    <row r="101" spans="2:3" x14ac:dyDescent="0.35">
      <c r="C101" s="1" t="s">
        <v>639</v>
      </c>
    </row>
    <row r="102" spans="2:3" x14ac:dyDescent="0.35">
      <c r="C102" s="1" t="s">
        <v>640</v>
      </c>
    </row>
    <row r="103" spans="2:3" x14ac:dyDescent="0.35">
      <c r="C103" s="1" t="s">
        <v>641</v>
      </c>
    </row>
    <row r="104" spans="2:3" x14ac:dyDescent="0.35">
      <c r="C104" s="1" t="s">
        <v>642</v>
      </c>
    </row>
    <row r="105" spans="2:3" x14ac:dyDescent="0.35">
      <c r="C105" s="1" t="s">
        <v>643</v>
      </c>
    </row>
    <row r="106" spans="2:3" x14ac:dyDescent="0.35">
      <c r="C106" s="1" t="s">
        <v>644</v>
      </c>
    </row>
    <row r="107" spans="2:3" x14ac:dyDescent="0.35">
      <c r="C107" s="1" t="s">
        <v>645</v>
      </c>
    </row>
    <row r="108" spans="2:3" x14ac:dyDescent="0.35">
      <c r="C108" s="1" t="s">
        <v>646</v>
      </c>
    </row>
    <row r="109" spans="2:3" x14ac:dyDescent="0.35">
      <c r="C109" s="1" t="s">
        <v>647</v>
      </c>
    </row>
    <row r="110" spans="2:3" x14ac:dyDescent="0.35">
      <c r="C110" s="1" t="s">
        <v>648</v>
      </c>
    </row>
    <row r="111" spans="2:3" x14ac:dyDescent="0.35">
      <c r="C111" s="1" t="s">
        <v>649</v>
      </c>
    </row>
  </sheetData>
  <mergeCells count="6">
    <mergeCell ref="C69:E69"/>
    <mergeCell ref="F69:H69"/>
    <mergeCell ref="C4:F4"/>
    <mergeCell ref="B18:B19"/>
    <mergeCell ref="C18:F18"/>
    <mergeCell ref="B55:I5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41AC7-9CB3-49A3-979E-DC3642B84C3A}">
  <sheetPr codeName="Leht6"/>
  <dimension ref="A1:Q35"/>
  <sheetViews>
    <sheetView zoomScale="70" zoomScaleNormal="70" workbookViewId="0">
      <selection activeCell="N15" sqref="N15"/>
    </sheetView>
  </sheetViews>
  <sheetFormatPr defaultRowHeight="14.5" x14ac:dyDescent="0.35"/>
  <cols>
    <col min="1" max="1" width="14.453125" customWidth="1"/>
    <col min="2" max="2" width="15.81640625" customWidth="1"/>
    <col min="3" max="3" width="15.1796875" customWidth="1"/>
    <col min="4" max="4" width="16.1796875" customWidth="1"/>
    <col min="5" max="9" width="5.81640625" customWidth="1"/>
    <col min="10" max="10" width="12.1796875" customWidth="1"/>
    <col min="11" max="11" width="15.1796875" customWidth="1"/>
    <col min="12" max="12" width="16.81640625" customWidth="1"/>
    <col min="13" max="13" width="15.81640625" customWidth="1"/>
    <col min="14" max="14" width="22.1796875" customWidth="1"/>
    <col min="15" max="15" width="19.1796875" customWidth="1"/>
    <col min="16" max="16" width="12.1796875" customWidth="1"/>
    <col min="17" max="17" width="17.453125" customWidth="1"/>
  </cols>
  <sheetData>
    <row r="1" spans="1:17" s="450" customFormat="1" ht="58" x14ac:dyDescent="0.35">
      <c r="A1" s="449" t="s">
        <v>650</v>
      </c>
      <c r="B1" s="449" t="s">
        <v>651</v>
      </c>
      <c r="C1" s="449" t="s">
        <v>651</v>
      </c>
      <c r="D1" s="449" t="s">
        <v>652</v>
      </c>
      <c r="E1" s="1095" t="s">
        <v>653</v>
      </c>
      <c r="F1" s="1096"/>
      <c r="G1" s="1096"/>
      <c r="H1" s="1096"/>
      <c r="I1" s="1097"/>
      <c r="J1" s="449" t="s">
        <v>654</v>
      </c>
      <c r="K1" s="449" t="s">
        <v>655</v>
      </c>
      <c r="L1" s="449" t="s">
        <v>656</v>
      </c>
      <c r="M1" s="449" t="s">
        <v>657</v>
      </c>
      <c r="N1" s="449" t="s">
        <v>658</v>
      </c>
      <c r="O1" s="449" t="s">
        <v>659</v>
      </c>
      <c r="P1" s="449" t="s">
        <v>660</v>
      </c>
      <c r="Q1" s="464" t="s">
        <v>661</v>
      </c>
    </row>
    <row r="2" spans="1:17" ht="34.25" customHeight="1" x14ac:dyDescent="0.35">
      <c r="A2" s="1091" t="s">
        <v>662</v>
      </c>
      <c r="B2" s="1091" t="s">
        <v>663</v>
      </c>
      <c r="C2" s="1091" t="s">
        <v>664</v>
      </c>
      <c r="D2" s="1091" t="s">
        <v>665</v>
      </c>
      <c r="E2" s="1098" t="s">
        <v>666</v>
      </c>
      <c r="F2" s="1096"/>
      <c r="G2" s="1096"/>
      <c r="H2" s="1096"/>
      <c r="I2" s="1097"/>
      <c r="J2" s="1091" t="s">
        <v>667</v>
      </c>
      <c r="K2" s="1091" t="s">
        <v>668</v>
      </c>
      <c r="L2" s="1093" t="s">
        <v>669</v>
      </c>
      <c r="M2" s="1093" t="s">
        <v>670</v>
      </c>
      <c r="N2" s="1093" t="s">
        <v>671</v>
      </c>
      <c r="O2" s="1091" t="s">
        <v>672</v>
      </c>
      <c r="P2" s="1091" t="s">
        <v>673</v>
      </c>
      <c r="Q2" s="1089" t="s">
        <v>674</v>
      </c>
    </row>
    <row r="3" spans="1:17" ht="27.65" customHeight="1" x14ac:dyDescent="0.35">
      <c r="A3" s="1092"/>
      <c r="B3" s="1092"/>
      <c r="C3" s="1092"/>
      <c r="D3" s="1092"/>
      <c r="E3" s="451">
        <v>2023</v>
      </c>
      <c r="F3" s="451">
        <v>2024</v>
      </c>
      <c r="G3" s="451">
        <v>2025</v>
      </c>
      <c r="H3" s="451">
        <v>2026</v>
      </c>
      <c r="I3" s="451">
        <v>2027</v>
      </c>
      <c r="J3" s="1092"/>
      <c r="K3" s="1092"/>
      <c r="L3" s="1094"/>
      <c r="M3" s="1094"/>
      <c r="N3" s="1094"/>
      <c r="O3" s="1092"/>
      <c r="P3" s="1092"/>
      <c r="Q3" s="1090"/>
    </row>
    <row r="4" spans="1:17" ht="63" customHeight="1" x14ac:dyDescent="0.35">
      <c r="A4" s="659" t="s">
        <v>152</v>
      </c>
      <c r="B4" s="480" t="s">
        <v>675</v>
      </c>
      <c r="C4" s="481" t="s">
        <v>245</v>
      </c>
      <c r="D4" s="481" t="s">
        <v>245</v>
      </c>
      <c r="E4" s="487">
        <v>1</v>
      </c>
      <c r="F4" s="487">
        <v>2</v>
      </c>
      <c r="G4" s="487">
        <v>1</v>
      </c>
      <c r="H4" s="481" t="s">
        <v>245</v>
      </c>
      <c r="I4" s="481" t="s">
        <v>245</v>
      </c>
      <c r="J4" s="481" t="s">
        <v>676</v>
      </c>
      <c r="K4" s="481" t="s">
        <v>677</v>
      </c>
      <c r="L4" s="585" t="s">
        <v>678</v>
      </c>
      <c r="M4" s="481" t="s">
        <v>111</v>
      </c>
      <c r="N4" s="481" t="s">
        <v>245</v>
      </c>
      <c r="O4" s="480" t="s">
        <v>679</v>
      </c>
      <c r="P4" s="482">
        <v>1</v>
      </c>
      <c r="Q4" s="465"/>
    </row>
    <row r="5" spans="1:17" ht="99.65" customHeight="1" x14ac:dyDescent="0.35">
      <c r="A5" s="607" t="s">
        <v>132</v>
      </c>
      <c r="B5" s="483" t="s">
        <v>680</v>
      </c>
      <c r="C5" s="483">
        <v>3</v>
      </c>
      <c r="D5" s="484" t="s">
        <v>681</v>
      </c>
      <c r="E5" s="483"/>
      <c r="F5" s="483">
        <v>3</v>
      </c>
      <c r="G5" s="483" t="s">
        <v>245</v>
      </c>
      <c r="H5" s="483" t="s">
        <v>245</v>
      </c>
      <c r="I5" s="483" t="s">
        <v>245</v>
      </c>
      <c r="J5" s="483" t="s">
        <v>676</v>
      </c>
      <c r="K5" s="483" t="s">
        <v>682</v>
      </c>
      <c r="L5" s="485" t="s">
        <v>683</v>
      </c>
      <c r="M5" s="483" t="s">
        <v>684</v>
      </c>
      <c r="N5" s="483" t="s">
        <v>245</v>
      </c>
      <c r="O5" s="484" t="s">
        <v>679</v>
      </c>
      <c r="P5" s="486">
        <v>1</v>
      </c>
    </row>
    <row r="6" spans="1:17" ht="124.5" customHeight="1" x14ac:dyDescent="0.35">
      <c r="A6" s="608" t="s">
        <v>685</v>
      </c>
      <c r="B6" s="509" t="s">
        <v>680</v>
      </c>
      <c r="C6" s="509">
        <v>3</v>
      </c>
      <c r="D6" s="510" t="s">
        <v>681</v>
      </c>
      <c r="E6" s="509">
        <v>1</v>
      </c>
      <c r="F6" s="511" t="s">
        <v>245</v>
      </c>
      <c r="G6" s="509" t="s">
        <v>245</v>
      </c>
      <c r="H6" s="509" t="s">
        <v>245</v>
      </c>
      <c r="I6" s="509" t="s">
        <v>245</v>
      </c>
      <c r="J6" s="509" t="s">
        <v>676</v>
      </c>
      <c r="K6" s="509" t="s">
        <v>682</v>
      </c>
      <c r="L6" s="584" t="s">
        <v>686</v>
      </c>
      <c r="M6" s="509" t="s">
        <v>684</v>
      </c>
      <c r="N6" s="509" t="s">
        <v>245</v>
      </c>
      <c r="O6" s="510" t="s">
        <v>679</v>
      </c>
      <c r="P6" s="512">
        <v>1</v>
      </c>
    </row>
    <row r="7" spans="1:17" ht="36" customHeight="1" x14ac:dyDescent="0.35">
      <c r="A7" s="609" t="s">
        <v>164</v>
      </c>
      <c r="B7" s="523" t="s">
        <v>622</v>
      </c>
      <c r="C7" s="516">
        <v>3</v>
      </c>
      <c r="D7" s="513" t="s">
        <v>681</v>
      </c>
      <c r="E7" s="516"/>
      <c r="F7" s="516">
        <v>1</v>
      </c>
      <c r="G7" s="516"/>
      <c r="H7" s="516"/>
      <c r="I7" s="516"/>
      <c r="J7" s="516" t="s">
        <v>676</v>
      </c>
      <c r="K7" s="516" t="s">
        <v>687</v>
      </c>
      <c r="L7" s="513" t="s">
        <v>688</v>
      </c>
      <c r="M7" s="516" t="s">
        <v>684</v>
      </c>
      <c r="N7" s="516"/>
      <c r="O7" s="517" t="s">
        <v>689</v>
      </c>
      <c r="P7" s="518">
        <v>1</v>
      </c>
    </row>
    <row r="8" spans="1:17" ht="56.25" customHeight="1" x14ac:dyDescent="0.35">
      <c r="A8" s="609" t="s">
        <v>174</v>
      </c>
      <c r="B8" s="524" t="s">
        <v>680</v>
      </c>
      <c r="C8" s="519">
        <v>3</v>
      </c>
      <c r="D8" s="522" t="s">
        <v>681</v>
      </c>
      <c r="E8" s="519"/>
      <c r="F8" s="519">
        <v>1</v>
      </c>
      <c r="G8" s="519"/>
      <c r="H8" s="519"/>
      <c r="I8" s="519"/>
      <c r="J8" s="519" t="s">
        <v>676</v>
      </c>
      <c r="K8" s="519" t="s">
        <v>690</v>
      </c>
      <c r="L8" s="660" t="s">
        <v>691</v>
      </c>
      <c r="M8" s="519" t="s">
        <v>111</v>
      </c>
      <c r="N8" s="519"/>
      <c r="O8" s="520" t="s">
        <v>689</v>
      </c>
      <c r="P8" s="521">
        <v>1</v>
      </c>
    </row>
    <row r="9" spans="1:17" ht="66" customHeight="1" x14ac:dyDescent="0.35">
      <c r="A9" s="607" t="s">
        <v>416</v>
      </c>
      <c r="B9" s="524" t="s">
        <v>680</v>
      </c>
      <c r="C9" s="519">
        <v>3</v>
      </c>
      <c r="D9" s="522" t="s">
        <v>681</v>
      </c>
      <c r="E9" s="519"/>
      <c r="F9" s="519">
        <v>1</v>
      </c>
      <c r="G9" s="519"/>
      <c r="H9" s="519"/>
      <c r="I9" s="519"/>
      <c r="J9" s="519" t="s">
        <v>676</v>
      </c>
      <c r="K9" s="519" t="s">
        <v>690</v>
      </c>
      <c r="L9" s="660" t="s">
        <v>692</v>
      </c>
      <c r="M9" s="519" t="s">
        <v>111</v>
      </c>
      <c r="N9" s="519"/>
      <c r="O9" s="520" t="s">
        <v>689</v>
      </c>
      <c r="P9" s="521">
        <v>1</v>
      </c>
    </row>
    <row r="10" spans="1:17" ht="71.25" customHeight="1" x14ac:dyDescent="0.35">
      <c r="A10" s="610" t="s">
        <v>420</v>
      </c>
      <c r="B10" s="524" t="s">
        <v>680</v>
      </c>
      <c r="C10" s="519">
        <v>3</v>
      </c>
      <c r="D10" s="522" t="s">
        <v>681</v>
      </c>
      <c r="E10" s="519"/>
      <c r="F10" s="519">
        <v>2</v>
      </c>
      <c r="G10" s="519"/>
      <c r="H10" s="519"/>
      <c r="I10" s="519"/>
      <c r="J10" s="519" t="s">
        <v>676</v>
      </c>
      <c r="K10" s="519" t="s">
        <v>690</v>
      </c>
      <c r="L10" s="660" t="s">
        <v>693</v>
      </c>
      <c r="M10" s="519" t="s">
        <v>111</v>
      </c>
      <c r="N10" s="519"/>
      <c r="O10" s="520" t="s">
        <v>689</v>
      </c>
      <c r="P10" s="521">
        <v>1</v>
      </c>
    </row>
    <row r="11" spans="1:17" x14ac:dyDescent="0.35">
      <c r="B11" s="452" t="s">
        <v>614</v>
      </c>
      <c r="C11">
        <v>1</v>
      </c>
      <c r="D11" t="s">
        <v>615</v>
      </c>
    </row>
    <row r="12" spans="1:17" x14ac:dyDescent="0.35">
      <c r="B12" s="452" t="s">
        <v>616</v>
      </c>
      <c r="C12">
        <v>2</v>
      </c>
      <c r="D12" t="s">
        <v>617</v>
      </c>
    </row>
    <row r="13" spans="1:17" x14ac:dyDescent="0.35">
      <c r="B13" s="452" t="s">
        <v>618</v>
      </c>
      <c r="C13">
        <v>3</v>
      </c>
      <c r="D13" t="s">
        <v>619</v>
      </c>
    </row>
    <row r="14" spans="1:17" x14ac:dyDescent="0.35">
      <c r="B14" s="452" t="s">
        <v>620</v>
      </c>
      <c r="C14">
        <v>4</v>
      </c>
      <c r="D14" t="s">
        <v>621</v>
      </c>
    </row>
    <row r="15" spans="1:17" x14ac:dyDescent="0.35">
      <c r="B15" s="452" t="s">
        <v>622</v>
      </c>
      <c r="D15" t="s">
        <v>623</v>
      </c>
    </row>
    <row r="16" spans="1:17" x14ac:dyDescent="0.35">
      <c r="B16" s="452" t="s">
        <v>624</v>
      </c>
      <c r="D16" t="s">
        <v>625</v>
      </c>
    </row>
    <row r="17" spans="2:4" x14ac:dyDescent="0.35">
      <c r="B17" s="452" t="s">
        <v>626</v>
      </c>
      <c r="D17" t="s">
        <v>627</v>
      </c>
    </row>
    <row r="18" spans="2:4" x14ac:dyDescent="0.35">
      <c r="B18" s="452" t="s">
        <v>628</v>
      </c>
      <c r="D18" t="s">
        <v>629</v>
      </c>
    </row>
    <row r="19" spans="2:4" x14ac:dyDescent="0.35">
      <c r="B19" s="452" t="s">
        <v>630</v>
      </c>
      <c r="D19" t="s">
        <v>631</v>
      </c>
    </row>
    <row r="20" spans="2:4" x14ac:dyDescent="0.35">
      <c r="B20" s="452" t="s">
        <v>632</v>
      </c>
      <c r="D20" t="s">
        <v>633</v>
      </c>
    </row>
    <row r="21" spans="2:4" x14ac:dyDescent="0.35">
      <c r="B21" s="452" t="s">
        <v>634</v>
      </c>
      <c r="D21" t="s">
        <v>635</v>
      </c>
    </row>
    <row r="22" spans="2:4" x14ac:dyDescent="0.35">
      <c r="D22" t="s">
        <v>636</v>
      </c>
    </row>
    <row r="23" spans="2:4" x14ac:dyDescent="0.35">
      <c r="D23" t="s">
        <v>637</v>
      </c>
    </row>
    <row r="24" spans="2:4" x14ac:dyDescent="0.35">
      <c r="D24" t="s">
        <v>638</v>
      </c>
    </row>
    <row r="25" spans="2:4" x14ac:dyDescent="0.35">
      <c r="D25" t="s">
        <v>639</v>
      </c>
    </row>
    <row r="26" spans="2:4" x14ac:dyDescent="0.35">
      <c r="D26" t="s">
        <v>640</v>
      </c>
    </row>
    <row r="27" spans="2:4" x14ac:dyDescent="0.35">
      <c r="D27" t="s">
        <v>641</v>
      </c>
    </row>
    <row r="28" spans="2:4" x14ac:dyDescent="0.35">
      <c r="D28" t="s">
        <v>642</v>
      </c>
    </row>
    <row r="29" spans="2:4" x14ac:dyDescent="0.35">
      <c r="D29" t="s">
        <v>643</v>
      </c>
    </row>
    <row r="30" spans="2:4" x14ac:dyDescent="0.35">
      <c r="D30" t="s">
        <v>644</v>
      </c>
    </row>
    <row r="31" spans="2:4" x14ac:dyDescent="0.35">
      <c r="D31" t="s">
        <v>645</v>
      </c>
    </row>
    <row r="32" spans="2:4" x14ac:dyDescent="0.35">
      <c r="D32" t="s">
        <v>646</v>
      </c>
    </row>
    <row r="33" spans="4:4" x14ac:dyDescent="0.35">
      <c r="D33" t="s">
        <v>647</v>
      </c>
    </row>
    <row r="34" spans="4:4" x14ac:dyDescent="0.35">
      <c r="D34" t="s">
        <v>648</v>
      </c>
    </row>
    <row r="35" spans="4:4" x14ac:dyDescent="0.35">
      <c r="D35" t="s">
        <v>649</v>
      </c>
    </row>
  </sheetData>
  <mergeCells count="14">
    <mergeCell ref="E1:I1"/>
    <mergeCell ref="A2:A3"/>
    <mergeCell ref="B2:B3"/>
    <mergeCell ref="C2:C3"/>
    <mergeCell ref="D2:D3"/>
    <mergeCell ref="E2:I2"/>
    <mergeCell ref="Q2:Q3"/>
    <mergeCell ref="P2:P3"/>
    <mergeCell ref="J2:J3"/>
    <mergeCell ref="K2:K3"/>
    <mergeCell ref="L2:L3"/>
    <mergeCell ref="M2:M3"/>
    <mergeCell ref="N2:N3"/>
    <mergeCell ref="O2:O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2FAA-FD24-4FFE-89B9-5ECF546CA20E}">
  <sheetPr codeName="Leht7"/>
  <dimension ref="A30:U52"/>
  <sheetViews>
    <sheetView topLeftCell="A29" zoomScale="110" zoomScaleNormal="110" workbookViewId="0">
      <selection activeCell="P29" sqref="P29"/>
    </sheetView>
  </sheetViews>
  <sheetFormatPr defaultColWidth="20.54296875" defaultRowHeight="13" x14ac:dyDescent="0.35"/>
  <cols>
    <col min="1" max="1" width="15.81640625" style="466" customWidth="1"/>
    <col min="2" max="2" width="11.1796875" style="466" customWidth="1"/>
    <col min="3" max="3" width="19.81640625" style="466" customWidth="1"/>
    <col min="4" max="4" width="18.1796875" style="466" customWidth="1"/>
    <col min="5" max="5" width="24" style="466" customWidth="1"/>
    <col min="6" max="6" width="29.1796875" style="466" customWidth="1"/>
    <col min="7" max="7" width="20.81640625" style="466" customWidth="1"/>
    <col min="8" max="8" width="11.453125" style="466" customWidth="1"/>
    <col min="9" max="9" width="12" style="466" customWidth="1"/>
    <col min="10" max="10" width="11.54296875" style="466" customWidth="1"/>
    <col min="11" max="11" width="21.81640625" style="466" customWidth="1"/>
    <col min="12" max="12" width="12.81640625" style="466" customWidth="1"/>
    <col min="13" max="13" width="11.81640625" style="466" customWidth="1"/>
    <col min="14" max="14" width="11.453125" style="466" customWidth="1"/>
    <col min="15" max="15" width="13" style="466" customWidth="1"/>
    <col min="16" max="16" width="11.453125" style="466" customWidth="1"/>
    <col min="17" max="17" width="10.81640625" style="466" customWidth="1"/>
    <col min="18" max="18" width="18.1796875" style="466" customWidth="1"/>
    <col min="19" max="19" width="52.1796875" style="466" customWidth="1"/>
    <col min="20" max="16384" width="20.54296875" style="466"/>
  </cols>
  <sheetData>
    <row r="30" spans="1:21" ht="15.5" x14ac:dyDescent="0.35">
      <c r="A30" s="1099" t="s">
        <v>694</v>
      </c>
      <c r="B30" s="1099"/>
      <c r="C30" s="1099"/>
      <c r="D30" s="1099"/>
      <c r="E30" s="1099"/>
      <c r="F30" s="1100"/>
      <c r="G30" s="1100"/>
      <c r="H30" s="1100"/>
      <c r="I30" s="1100"/>
      <c r="J30" s="1050"/>
      <c r="K30" s="1050"/>
    </row>
    <row r="32" spans="1:21" s="701" customFormat="1" ht="75" x14ac:dyDescent="0.35">
      <c r="A32" s="698" t="s">
        <v>695</v>
      </c>
      <c r="B32" s="698" t="s">
        <v>696</v>
      </c>
      <c r="C32" s="698" t="s">
        <v>697</v>
      </c>
      <c r="D32" s="698" t="s">
        <v>698</v>
      </c>
      <c r="E32" s="698" t="s">
        <v>699</v>
      </c>
      <c r="F32" s="698" t="s">
        <v>700</v>
      </c>
      <c r="G32" s="699" t="s">
        <v>701</v>
      </c>
      <c r="H32" s="699" t="s">
        <v>702</v>
      </c>
      <c r="I32" s="699" t="s">
        <v>703</v>
      </c>
      <c r="J32" s="699" t="s">
        <v>704</v>
      </c>
      <c r="K32" s="699" t="s">
        <v>705</v>
      </c>
      <c r="L32" s="699" t="s">
        <v>706</v>
      </c>
      <c r="M32" s="698" t="s">
        <v>707</v>
      </c>
      <c r="N32" s="698" t="s">
        <v>708</v>
      </c>
      <c r="O32" s="698" t="s">
        <v>709</v>
      </c>
      <c r="P32" s="698" t="s">
        <v>710</v>
      </c>
      <c r="Q32" s="699" t="s">
        <v>711</v>
      </c>
      <c r="R32" s="699" t="s">
        <v>712</v>
      </c>
      <c r="S32" s="700" t="s">
        <v>713</v>
      </c>
      <c r="U32" s="700" t="s">
        <v>714</v>
      </c>
    </row>
    <row r="33" spans="1:21" ht="66" customHeight="1" x14ac:dyDescent="0.35">
      <c r="A33" s="467" t="s">
        <v>100</v>
      </c>
      <c r="B33" s="691" t="s">
        <v>715</v>
      </c>
      <c r="C33" s="690" t="s">
        <v>716</v>
      </c>
      <c r="D33" s="467" t="s">
        <v>717</v>
      </c>
      <c r="E33" s="468" t="s">
        <v>718</v>
      </c>
      <c r="F33" s="468" t="s">
        <v>719</v>
      </c>
      <c r="G33" s="469" t="s">
        <v>720</v>
      </c>
      <c r="H33" s="677" t="s">
        <v>721</v>
      </c>
      <c r="I33" s="469" t="s">
        <v>722</v>
      </c>
      <c r="J33" s="468" t="s">
        <v>723</v>
      </c>
      <c r="K33" s="468" t="s">
        <v>724</v>
      </c>
      <c r="L33" s="468" t="s">
        <v>725</v>
      </c>
      <c r="M33" s="470">
        <v>0</v>
      </c>
      <c r="N33" s="470">
        <v>131000</v>
      </c>
      <c r="O33" s="470">
        <v>205000</v>
      </c>
      <c r="P33" s="470">
        <v>214000</v>
      </c>
      <c r="Q33" s="470">
        <f t="shared" ref="Q33:Q39" si="0">SUM(M33:P33)</f>
        <v>550000</v>
      </c>
      <c r="R33" s="468" t="s">
        <v>726</v>
      </c>
      <c r="S33" s="468" t="s">
        <v>727</v>
      </c>
      <c r="U33" s="466" t="s">
        <v>728</v>
      </c>
    </row>
    <row r="34" spans="1:21" ht="81" customHeight="1" x14ac:dyDescent="0.35">
      <c r="A34" s="651" t="s">
        <v>729</v>
      </c>
      <c r="B34" s="651" t="s">
        <v>730</v>
      </c>
      <c r="C34" s="652"/>
      <c r="D34" s="651" t="s">
        <v>717</v>
      </c>
      <c r="E34" s="653" t="s">
        <v>718</v>
      </c>
      <c r="F34" s="651" t="s">
        <v>719</v>
      </c>
      <c r="G34" s="654"/>
      <c r="H34" s="655" t="s">
        <v>731</v>
      </c>
      <c r="I34" s="655" t="s">
        <v>722</v>
      </c>
      <c r="J34" s="653" t="s">
        <v>723</v>
      </c>
      <c r="K34" s="653" t="s">
        <v>732</v>
      </c>
      <c r="L34" s="653" t="s">
        <v>725</v>
      </c>
      <c r="M34" s="656">
        <v>0</v>
      </c>
      <c r="N34" s="657">
        <f>3520000+1405750+120000</f>
        <v>5045750</v>
      </c>
      <c r="O34" s="657">
        <f>3480000+1567575+120000</f>
        <v>5167575</v>
      </c>
      <c r="P34" s="657">
        <f>3480000+1714115+120000</f>
        <v>5314115</v>
      </c>
      <c r="Q34" s="656">
        <f>SUM(M34:P34)</f>
        <v>15527440</v>
      </c>
      <c r="R34" s="653" t="s">
        <v>733</v>
      </c>
      <c r="S34" s="653" t="s">
        <v>727</v>
      </c>
    </row>
    <row r="35" spans="1:21" ht="67.5" customHeight="1" x14ac:dyDescent="0.35">
      <c r="A35" s="467" t="s">
        <v>100</v>
      </c>
      <c r="B35" s="690" t="s">
        <v>715</v>
      </c>
      <c r="C35" s="690" t="s">
        <v>716</v>
      </c>
      <c r="D35" s="471" t="s">
        <v>734</v>
      </c>
      <c r="E35" s="468" t="s">
        <v>735</v>
      </c>
      <c r="F35" s="689" t="s">
        <v>736</v>
      </c>
      <c r="G35" s="488" t="s">
        <v>737</v>
      </c>
      <c r="H35" s="473" t="s">
        <v>738</v>
      </c>
      <c r="I35" s="685" t="s">
        <v>739</v>
      </c>
      <c r="J35" s="468" t="s">
        <v>740</v>
      </c>
      <c r="K35" s="686" t="s">
        <v>741</v>
      </c>
      <c r="L35" s="468" t="s">
        <v>742</v>
      </c>
      <c r="M35" s="470">
        <v>90000</v>
      </c>
      <c r="N35" s="687">
        <v>5246134</v>
      </c>
      <c r="O35" s="687">
        <v>10492268</v>
      </c>
      <c r="P35" s="687">
        <v>10492268</v>
      </c>
      <c r="Q35" s="688">
        <f t="shared" si="0"/>
        <v>26320670</v>
      </c>
      <c r="R35" s="686" t="s">
        <v>743</v>
      </c>
      <c r="S35" s="686" t="s">
        <v>744</v>
      </c>
      <c r="U35" s="466" t="s">
        <v>745</v>
      </c>
    </row>
    <row r="36" spans="1:21" ht="49.5" customHeight="1" x14ac:dyDescent="0.35">
      <c r="A36" s="678" t="s">
        <v>100</v>
      </c>
      <c r="B36" s="694" t="s">
        <v>746</v>
      </c>
      <c r="C36" s="692"/>
      <c r="D36" s="695" t="s">
        <v>747</v>
      </c>
      <c r="E36" s="679" t="s">
        <v>735</v>
      </c>
      <c r="F36" s="680" t="s">
        <v>748</v>
      </c>
      <c r="G36" s="681" t="s">
        <v>749</v>
      </c>
      <c r="H36" s="682" t="s">
        <v>738</v>
      </c>
      <c r="I36" s="682">
        <v>2023</v>
      </c>
      <c r="J36" s="683" t="s">
        <v>750</v>
      </c>
      <c r="K36" s="679" t="s">
        <v>751</v>
      </c>
      <c r="L36" s="679" t="s">
        <v>752</v>
      </c>
      <c r="M36" s="684">
        <v>50000</v>
      </c>
      <c r="N36" s="684">
        <v>0</v>
      </c>
      <c r="O36" s="684">
        <v>0</v>
      </c>
      <c r="P36" s="684">
        <v>0</v>
      </c>
      <c r="Q36" s="684">
        <f>SUM(M36:P36)</f>
        <v>50000</v>
      </c>
      <c r="R36" s="679" t="s">
        <v>753</v>
      </c>
      <c r="S36" s="679" t="s">
        <v>754</v>
      </c>
      <c r="U36" s="466" t="s">
        <v>755</v>
      </c>
    </row>
    <row r="37" spans="1:21" ht="38.25" customHeight="1" x14ac:dyDescent="0.35">
      <c r="A37" s="467" t="s">
        <v>100</v>
      </c>
      <c r="B37" s="702" t="s">
        <v>715</v>
      </c>
      <c r="C37" s="693" t="s">
        <v>756</v>
      </c>
      <c r="D37" s="696" t="s">
        <v>757</v>
      </c>
      <c r="E37" s="468" t="s">
        <v>718</v>
      </c>
      <c r="F37" s="689" t="s">
        <v>758</v>
      </c>
      <c r="G37" s="703" t="s">
        <v>759</v>
      </c>
      <c r="H37" s="685" t="s">
        <v>760</v>
      </c>
      <c r="I37" s="685" t="s">
        <v>761</v>
      </c>
      <c r="J37" s="489" t="s">
        <v>761</v>
      </c>
      <c r="K37" s="468" t="s">
        <v>762</v>
      </c>
      <c r="L37" s="468" t="s">
        <v>725</v>
      </c>
      <c r="M37" s="470">
        <v>67200</v>
      </c>
      <c r="N37" s="688">
        <f>M37</f>
        <v>67200</v>
      </c>
      <c r="O37" s="688">
        <f>N37</f>
        <v>67200</v>
      </c>
      <c r="P37" s="688">
        <f>O37</f>
        <v>67200</v>
      </c>
      <c r="Q37" s="688">
        <f>SUM(M37:P37)</f>
        <v>268800</v>
      </c>
      <c r="R37" s="468" t="s">
        <v>763</v>
      </c>
      <c r="S37" s="686" t="s">
        <v>764</v>
      </c>
      <c r="U37" s="466" t="s">
        <v>745</v>
      </c>
    </row>
    <row r="38" spans="1:21" ht="53.25" customHeight="1" x14ac:dyDescent="0.35">
      <c r="A38" s="467" t="s">
        <v>100</v>
      </c>
      <c r="B38" s="702" t="s">
        <v>715</v>
      </c>
      <c r="C38" s="704" t="s">
        <v>756</v>
      </c>
      <c r="D38" s="696" t="s">
        <v>765</v>
      </c>
      <c r="E38" s="468" t="s">
        <v>735</v>
      </c>
      <c r="F38" s="472" t="s">
        <v>766</v>
      </c>
      <c r="G38" s="488" t="s">
        <v>767</v>
      </c>
      <c r="H38" s="473" t="s">
        <v>738</v>
      </c>
      <c r="I38" s="473" t="s">
        <v>768</v>
      </c>
      <c r="J38" s="686" t="s">
        <v>769</v>
      </c>
      <c r="K38" s="468" t="s">
        <v>751</v>
      </c>
      <c r="L38" s="468" t="s">
        <v>752</v>
      </c>
      <c r="M38" s="470">
        <v>70000</v>
      </c>
      <c r="N38" s="470">
        <v>20000</v>
      </c>
      <c r="O38" s="470">
        <v>0</v>
      </c>
      <c r="P38" s="470">
        <v>0</v>
      </c>
      <c r="Q38" s="470">
        <f t="shared" si="0"/>
        <v>90000</v>
      </c>
      <c r="R38" s="468" t="s">
        <v>753</v>
      </c>
      <c r="S38" s="468" t="s">
        <v>770</v>
      </c>
      <c r="U38" s="466" t="s">
        <v>771</v>
      </c>
    </row>
    <row r="39" spans="1:21" ht="60.75" customHeight="1" x14ac:dyDescent="0.35">
      <c r="A39" s="467" t="s">
        <v>729</v>
      </c>
      <c r="B39" s="702" t="s">
        <v>715</v>
      </c>
      <c r="C39" s="704" t="s">
        <v>756</v>
      </c>
      <c r="D39" s="705" t="s">
        <v>772</v>
      </c>
      <c r="E39" s="705" t="s">
        <v>735</v>
      </c>
      <c r="F39" s="705" t="s">
        <v>773</v>
      </c>
      <c r="G39" s="706" t="s">
        <v>774</v>
      </c>
      <c r="H39" s="707" t="s">
        <v>775</v>
      </c>
      <c r="I39" s="707" t="s">
        <v>776</v>
      </c>
      <c r="J39" s="705" t="s">
        <v>777</v>
      </c>
      <c r="K39" s="705" t="s">
        <v>778</v>
      </c>
      <c r="L39" s="705" t="s">
        <v>779</v>
      </c>
      <c r="M39" s="642">
        <v>75000</v>
      </c>
      <c r="N39" s="642">
        <v>75000</v>
      </c>
      <c r="O39" s="642">
        <v>75000</v>
      </c>
      <c r="P39" s="642">
        <v>75000</v>
      </c>
      <c r="Q39" s="642">
        <f t="shared" si="0"/>
        <v>300000</v>
      </c>
      <c r="R39" s="705" t="s">
        <v>780</v>
      </c>
      <c r="S39" s="708" t="s">
        <v>781</v>
      </c>
    </row>
    <row r="40" spans="1:21" ht="84" customHeight="1" x14ac:dyDescent="0.35">
      <c r="A40" s="709" t="s">
        <v>101</v>
      </c>
      <c r="B40" s="710" t="s">
        <v>782</v>
      </c>
      <c r="C40" s="711" t="s">
        <v>783</v>
      </c>
      <c r="D40" s="712" t="s">
        <v>784</v>
      </c>
      <c r="E40" s="713" t="s">
        <v>785</v>
      </c>
      <c r="F40" s="714" t="s">
        <v>786</v>
      </c>
      <c r="G40" s="715" t="s">
        <v>787</v>
      </c>
      <c r="H40" s="715" t="s">
        <v>788</v>
      </c>
      <c r="I40" s="716" t="s">
        <v>789</v>
      </c>
      <c r="J40" s="717">
        <v>2026</v>
      </c>
      <c r="K40" s="712" t="s">
        <v>790</v>
      </c>
      <c r="L40" s="712" t="s">
        <v>791</v>
      </c>
      <c r="M40" s="718">
        <v>0</v>
      </c>
      <c r="N40" s="719">
        <v>39000</v>
      </c>
      <c r="O40" s="720">
        <v>78000</v>
      </c>
      <c r="P40" s="720">
        <v>78000</v>
      </c>
      <c r="Q40" s="720">
        <v>195000</v>
      </c>
      <c r="R40" s="712" t="s">
        <v>792</v>
      </c>
      <c r="S40" s="712" t="s">
        <v>793</v>
      </c>
      <c r="T40" s="710" t="s">
        <v>794</v>
      </c>
    </row>
    <row r="41" spans="1:21" s="634" customFormat="1" ht="84" customHeight="1" x14ac:dyDescent="0.35">
      <c r="A41" s="721" t="s">
        <v>101</v>
      </c>
      <c r="B41" s="711" t="s">
        <v>782</v>
      </c>
      <c r="C41" s="711" t="s">
        <v>783</v>
      </c>
      <c r="D41" s="711" t="s">
        <v>784</v>
      </c>
      <c r="E41" s="722" t="s">
        <v>785</v>
      </c>
      <c r="F41" s="723" t="s">
        <v>786</v>
      </c>
      <c r="G41" s="773" t="s">
        <v>795</v>
      </c>
      <c r="H41" s="724" t="s">
        <v>796</v>
      </c>
      <c r="I41" s="725" t="s">
        <v>789</v>
      </c>
      <c r="J41" s="723">
        <v>2026</v>
      </c>
      <c r="K41" s="711" t="s">
        <v>797</v>
      </c>
      <c r="L41" s="711" t="s">
        <v>752</v>
      </c>
      <c r="M41" s="726">
        <v>80000</v>
      </c>
      <c r="N41" s="726">
        <v>50000</v>
      </c>
      <c r="O41" s="726"/>
      <c r="P41" s="726"/>
      <c r="Q41" s="726">
        <f>SUM(M41:P41)</f>
        <v>130000</v>
      </c>
      <c r="R41" s="711" t="s">
        <v>797</v>
      </c>
      <c r="S41" s="711" t="s">
        <v>798</v>
      </c>
      <c r="T41" s="711"/>
    </row>
    <row r="42" spans="1:21" s="634" customFormat="1" ht="84" customHeight="1" x14ac:dyDescent="0.35">
      <c r="A42" s="721" t="s">
        <v>101</v>
      </c>
      <c r="B42" s="711" t="s">
        <v>782</v>
      </c>
      <c r="C42" s="711" t="s">
        <v>783</v>
      </c>
      <c r="D42" s="711" t="s">
        <v>784</v>
      </c>
      <c r="E42" s="722" t="s">
        <v>785</v>
      </c>
      <c r="F42" s="723" t="s">
        <v>786</v>
      </c>
      <c r="G42" s="727" t="s">
        <v>795</v>
      </c>
      <c r="H42" s="724" t="s">
        <v>796</v>
      </c>
      <c r="I42" s="725" t="s">
        <v>789</v>
      </c>
      <c r="J42" s="723">
        <v>2026</v>
      </c>
      <c r="K42" s="711" t="s">
        <v>799</v>
      </c>
      <c r="L42" s="711" t="s">
        <v>201</v>
      </c>
      <c r="M42" s="726"/>
      <c r="N42" s="726">
        <v>12500</v>
      </c>
      <c r="O42" s="726">
        <v>25000</v>
      </c>
      <c r="P42" s="726">
        <v>25000</v>
      </c>
      <c r="Q42" s="726">
        <v>62500</v>
      </c>
      <c r="R42" s="711" t="s">
        <v>800</v>
      </c>
      <c r="S42" s="711" t="s">
        <v>801</v>
      </c>
      <c r="T42" s="711"/>
    </row>
    <row r="43" spans="1:21" ht="92.25" customHeight="1" x14ac:dyDescent="0.35">
      <c r="A43" s="728" t="s">
        <v>101</v>
      </c>
      <c r="B43" s="729" t="s">
        <v>802</v>
      </c>
      <c r="C43" s="729" t="s">
        <v>803</v>
      </c>
      <c r="D43" s="729" t="s">
        <v>804</v>
      </c>
      <c r="E43" s="730" t="s">
        <v>805</v>
      </c>
      <c r="F43" s="730" t="s">
        <v>806</v>
      </c>
      <c r="G43" s="774" t="s">
        <v>807</v>
      </c>
      <c r="H43" s="745" t="s">
        <v>808</v>
      </c>
      <c r="I43" s="745" t="s">
        <v>809</v>
      </c>
      <c r="J43" s="731">
        <v>45658</v>
      </c>
      <c r="K43" s="732" t="s">
        <v>810</v>
      </c>
      <c r="L43" s="732" t="s">
        <v>791</v>
      </c>
      <c r="M43" s="733">
        <v>39000</v>
      </c>
      <c r="N43" s="733">
        <v>39000</v>
      </c>
      <c r="O43" s="734">
        <v>39000</v>
      </c>
      <c r="P43" s="734">
        <v>39000</v>
      </c>
      <c r="Q43" s="734">
        <v>156000</v>
      </c>
      <c r="R43" s="729" t="s">
        <v>811</v>
      </c>
      <c r="S43" s="732" t="s">
        <v>812</v>
      </c>
      <c r="T43" s="735" t="s">
        <v>245</v>
      </c>
    </row>
    <row r="44" spans="1:21" ht="159.75" customHeight="1" x14ac:dyDescent="0.35">
      <c r="A44" s="736" t="s">
        <v>813</v>
      </c>
      <c r="B44" s="737" t="s">
        <v>814</v>
      </c>
      <c r="C44" s="737" t="s">
        <v>815</v>
      </c>
      <c r="D44" s="737" t="s">
        <v>816</v>
      </c>
      <c r="E44" s="738" t="s">
        <v>817</v>
      </c>
      <c r="F44" s="739" t="s">
        <v>818</v>
      </c>
      <c r="G44" s="740" t="s">
        <v>819</v>
      </c>
      <c r="H44" s="740" t="s">
        <v>820</v>
      </c>
      <c r="I44" s="741" t="s">
        <v>821</v>
      </c>
      <c r="J44" s="741">
        <v>45777</v>
      </c>
      <c r="K44" s="711" t="s">
        <v>822</v>
      </c>
      <c r="L44" s="742" t="s">
        <v>791</v>
      </c>
      <c r="M44" s="743">
        <v>34000</v>
      </c>
      <c r="N44" s="743">
        <v>50000</v>
      </c>
      <c r="O44" s="744">
        <v>50000</v>
      </c>
      <c r="P44" s="744">
        <v>50000</v>
      </c>
      <c r="Q44" s="744">
        <f>SUM(M44:P44)</f>
        <v>184000</v>
      </c>
      <c r="R44" s="737" t="s">
        <v>823</v>
      </c>
      <c r="S44" s="645" t="s">
        <v>824</v>
      </c>
      <c r="T44" s="745"/>
    </row>
    <row r="45" spans="1:21" ht="162" customHeight="1" x14ac:dyDescent="0.35">
      <c r="A45" s="746" t="s">
        <v>813</v>
      </c>
      <c r="B45" s="747" t="s">
        <v>715</v>
      </c>
      <c r="C45" s="747" t="s">
        <v>825</v>
      </c>
      <c r="D45" s="747" t="s">
        <v>826</v>
      </c>
      <c r="E45" s="748" t="s">
        <v>827</v>
      </c>
      <c r="F45" s="749" t="s">
        <v>828</v>
      </c>
      <c r="G45" s="750" t="s">
        <v>827</v>
      </c>
      <c r="H45" s="751" t="s">
        <v>829</v>
      </c>
      <c r="I45" s="751" t="s">
        <v>830</v>
      </c>
      <c r="J45" s="752" t="s">
        <v>831</v>
      </c>
      <c r="K45" s="753" t="s">
        <v>822</v>
      </c>
      <c r="L45" s="754" t="s">
        <v>791</v>
      </c>
      <c r="M45" s="743">
        <v>50000</v>
      </c>
      <c r="N45" s="743">
        <v>50000</v>
      </c>
      <c r="O45" s="744">
        <v>50000</v>
      </c>
      <c r="P45" s="744">
        <v>50000</v>
      </c>
      <c r="Q45" s="744">
        <f>SUM(M45:P45)</f>
        <v>200000</v>
      </c>
      <c r="R45" s="737" t="s">
        <v>832</v>
      </c>
      <c r="S45" s="645" t="s">
        <v>833</v>
      </c>
      <c r="T45" s="745"/>
    </row>
    <row r="46" spans="1:21" ht="210.75" customHeight="1" x14ac:dyDescent="0.35">
      <c r="A46" s="737" t="s">
        <v>813</v>
      </c>
      <c r="B46" s="755" t="s">
        <v>715</v>
      </c>
      <c r="C46" s="737" t="s">
        <v>825</v>
      </c>
      <c r="D46" s="737" t="s">
        <v>834</v>
      </c>
      <c r="E46" s="738" t="s">
        <v>817</v>
      </c>
      <c r="F46" s="739" t="s">
        <v>835</v>
      </c>
      <c r="G46" s="756" t="s">
        <v>836</v>
      </c>
      <c r="H46" s="740" t="s">
        <v>837</v>
      </c>
      <c r="I46" s="757" t="s">
        <v>837</v>
      </c>
      <c r="J46" s="758">
        <v>45658</v>
      </c>
      <c r="K46" s="710" t="s">
        <v>838</v>
      </c>
      <c r="L46" s="759" t="s">
        <v>839</v>
      </c>
      <c r="M46" s="760">
        <v>550000</v>
      </c>
      <c r="N46" s="743">
        <v>550000</v>
      </c>
      <c r="O46" s="744">
        <v>700000</v>
      </c>
      <c r="P46" s="744">
        <v>700000</v>
      </c>
      <c r="Q46" s="744">
        <f>SUM(M46:P46)</f>
        <v>2500000</v>
      </c>
      <c r="R46" s="761" t="s">
        <v>840</v>
      </c>
      <c r="T46" s="745"/>
    </row>
    <row r="47" spans="1:21" ht="92.25" customHeight="1" x14ac:dyDescent="0.35">
      <c r="A47" s="762" t="s">
        <v>729</v>
      </c>
      <c r="B47" s="763" t="s">
        <v>715</v>
      </c>
      <c r="C47" s="763" t="s">
        <v>841</v>
      </c>
      <c r="D47" s="763" t="s">
        <v>842</v>
      </c>
      <c r="E47" s="764" t="s">
        <v>843</v>
      </c>
      <c r="F47" s="765" t="s">
        <v>844</v>
      </c>
      <c r="G47" s="766" t="s">
        <v>845</v>
      </c>
      <c r="H47" s="767" t="s">
        <v>846</v>
      </c>
      <c r="I47" s="767" t="s">
        <v>847</v>
      </c>
      <c r="J47" s="768" t="s">
        <v>848</v>
      </c>
      <c r="K47" s="769" t="s">
        <v>849</v>
      </c>
      <c r="L47" s="769" t="s">
        <v>850</v>
      </c>
      <c r="M47" s="770">
        <v>760000</v>
      </c>
      <c r="N47" s="770">
        <v>560000</v>
      </c>
      <c r="O47" s="771">
        <v>560000</v>
      </c>
      <c r="P47" s="771">
        <v>560000</v>
      </c>
      <c r="Q47" s="772">
        <f>SUM(M47:P47)</f>
        <v>2440000</v>
      </c>
      <c r="R47" s="769" t="s">
        <v>851</v>
      </c>
      <c r="S47" s="697" t="s">
        <v>852</v>
      </c>
      <c r="T47" s="745"/>
    </row>
    <row r="48" spans="1:21" x14ac:dyDescent="0.35">
      <c r="A48" s="467"/>
      <c r="B48" s="471"/>
      <c r="C48" s="471"/>
      <c r="D48" s="471"/>
      <c r="E48" s="468"/>
      <c r="F48" s="643"/>
      <c r="G48" s="644"/>
      <c r="H48" s="473"/>
      <c r="I48" s="473"/>
      <c r="J48" s="468"/>
      <c r="K48" s="515" t="s">
        <v>487</v>
      </c>
      <c r="L48" s="468"/>
      <c r="M48" s="514">
        <f>SUM(M33:M47)</f>
        <v>1865200</v>
      </c>
      <c r="N48" s="514">
        <f t="shared" ref="N48:Q48" si="1">SUM(N33:N47)</f>
        <v>11935584</v>
      </c>
      <c r="O48" s="514">
        <f t="shared" si="1"/>
        <v>17509043</v>
      </c>
      <c r="P48" s="514">
        <f t="shared" si="1"/>
        <v>17664583</v>
      </c>
      <c r="Q48" s="514">
        <f t="shared" si="1"/>
        <v>48974410</v>
      </c>
      <c r="R48" s="468"/>
      <c r="S48" s="468"/>
    </row>
    <row r="49" spans="1:19" x14ac:dyDescent="0.35">
      <c r="A49" s="467"/>
      <c r="B49" s="467"/>
      <c r="C49" s="467"/>
      <c r="D49" s="467"/>
      <c r="E49" s="467"/>
      <c r="F49" s="467"/>
      <c r="G49" s="469"/>
      <c r="H49" s="469"/>
      <c r="I49" s="469"/>
      <c r="J49" s="469"/>
      <c r="K49" s="474" t="s">
        <v>487</v>
      </c>
      <c r="L49" s="474"/>
      <c r="M49" s="1101" t="s">
        <v>853</v>
      </c>
      <c r="N49" s="1102"/>
      <c r="O49" s="1102"/>
      <c r="P49" s="1103"/>
      <c r="Q49" s="475"/>
      <c r="R49" s="476"/>
      <c r="S49" s="476"/>
    </row>
    <row r="50" spans="1:19" x14ac:dyDescent="0.35">
      <c r="A50" s="467"/>
      <c r="B50" s="467"/>
      <c r="C50" s="467"/>
      <c r="D50" s="467"/>
      <c r="E50" s="467"/>
      <c r="F50" s="467"/>
      <c r="G50" s="469"/>
      <c r="H50" s="469"/>
      <c r="I50" s="469"/>
      <c r="J50" s="469"/>
      <c r="K50" s="477" t="s">
        <v>854</v>
      </c>
      <c r="L50" s="477"/>
      <c r="M50" s="1104"/>
      <c r="N50" s="1020"/>
      <c r="O50" s="1020"/>
      <c r="P50" s="1105"/>
      <c r="Q50" s="478"/>
      <c r="R50" s="476"/>
      <c r="S50" s="476"/>
    </row>
    <row r="51" spans="1:19" x14ac:dyDescent="0.35">
      <c r="A51" s="467"/>
      <c r="B51" s="467"/>
      <c r="C51" s="467"/>
      <c r="D51" s="467"/>
      <c r="E51" s="467"/>
      <c r="F51" s="467"/>
      <c r="G51" s="469"/>
      <c r="H51" s="469"/>
      <c r="I51" s="469"/>
      <c r="J51" s="469"/>
      <c r="K51" s="477" t="s">
        <v>855</v>
      </c>
      <c r="L51" s="477"/>
      <c r="M51" s="1106"/>
      <c r="N51" s="1107"/>
      <c r="O51" s="1107"/>
      <c r="P51" s="1108"/>
      <c r="Q51" s="478"/>
      <c r="R51" s="476"/>
      <c r="S51" s="476"/>
    </row>
    <row r="52" spans="1:19" x14ac:dyDescent="0.35">
      <c r="M52" s="479"/>
      <c r="N52" s="479"/>
      <c r="O52" s="479"/>
      <c r="P52" s="479"/>
      <c r="Q52" s="479"/>
    </row>
  </sheetData>
  <mergeCells count="2">
    <mergeCell ref="A30:K30"/>
    <mergeCell ref="M49:P51"/>
  </mergeCells>
  <hyperlinks>
    <hyperlink ref="G35" r:id="rId1" xr:uid="{004BF122-7F58-4F8D-B5B1-ECDD698C8D65}"/>
    <hyperlink ref="G36" r:id="rId2" xr:uid="{D7BDFA07-F9D2-4790-AF87-39DF8F0E38F3}"/>
    <hyperlink ref="G38" r:id="rId3" xr:uid="{834533AC-66EA-4297-8111-B35C737C93DB}"/>
    <hyperlink ref="G39" r:id="rId4" xr:uid="{8B61277C-D467-4BAC-ABFE-148EFBA53D83}"/>
    <hyperlink ref="E40" r:id="rId5" xr:uid="{46659794-B23B-43B6-9A4B-664E4B3FE471}"/>
    <hyperlink ref="E41" r:id="rId6" xr:uid="{49C94E2A-8590-4573-9C7E-D94F46551781}"/>
    <hyperlink ref="E42" r:id="rId7" xr:uid="{553CE33F-C261-43E9-8558-C8E0589742FD}"/>
    <hyperlink ref="E45" r:id="rId8" location="nTIPqvTU" xr:uid="{9E6C9E81-63BC-4C51-8FAC-F24B0B7B5DA6}"/>
    <hyperlink ref="G45" r:id="rId9" location="nTIPqvTU" xr:uid="{022BD5AA-74DD-4907-8481-7C4FBB028153}"/>
    <hyperlink ref="G47" r:id="rId10" xr:uid="{BED4EC90-6BE5-4C9B-978D-8E8F74BB6ED7}"/>
    <hyperlink ref="G37" r:id="rId11" xr:uid="{F1E47D0F-A3CB-4919-BFA6-E3EAF1563998}"/>
  </hyperlinks>
  <pageMargins left="0.7" right="0.7" top="0.75" bottom="0.75" header="0.3" footer="0.3"/>
  <drawing r:id="rId1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483750-598d-46a0-877d-052f8f804d23" xsi:nil="true"/>
    <lcf76f155ced4ddcb4097134ff3c332f xmlns="b7919694-6f7e-4008-b8d9-56ebe66c43d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FF7EF1C1C062143BFFF71E2625A0116" ma:contentTypeVersion="21" ma:contentTypeDescription="Create a new document." ma:contentTypeScope="" ma:versionID="e63d8523aa913cb9fd66e2b79faccd4a">
  <xsd:schema xmlns:xsd="http://www.w3.org/2001/XMLSchema" xmlns:xs="http://www.w3.org/2001/XMLSchema" xmlns:p="http://schemas.microsoft.com/office/2006/metadata/properties" xmlns:ns2="b7919694-6f7e-4008-b8d9-56ebe66c43d7" xmlns:ns3="9b483750-598d-46a0-877d-052f8f804d23" targetNamespace="http://schemas.microsoft.com/office/2006/metadata/properties" ma:root="true" ma:fieldsID="97ac55c0f247301b3a04f17b5a3670cb" ns2:_="" ns3:_="">
    <xsd:import namespace="b7919694-6f7e-4008-b8d9-56ebe66c43d7"/>
    <xsd:import namespace="9b483750-598d-46a0-877d-052f8f804d2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19694-6f7e-4008-b8d9-56ebe66c43d7"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6" nillable="true" ma:displayName="MediaServiceObjectDetectorVersions" ma:hidden="true" ma:indexed="true" ma:internalName="MediaServiceObjectDetectorVersions" ma:readOnly="true">
      <xsd:simpleType>
        <xsd:restriction base="dms:Text"/>
      </xsd:simpleType>
    </xsd:element>
    <xsd:element name="MediaServiceSearchProperties" ma:index="7" nillable="true" ma:displayName="MediaServiceSearchProperties" ma:hidden="true" ma:internalName="MediaServiceSearchProperties" ma:readOnly="true">
      <xsd:simpleType>
        <xsd:restriction base="dms:Note"/>
      </xsd:simpleType>
    </xsd:element>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8bf6974d-894c-4b76-94e9-da4eaeb0c39e" ma:termSetId="09814cd3-568e-fe90-9814-8d621ff8fb84" ma:anchorId="fba54fb3-c3e1-fe81-a776-ca4b69148c4d" ma:open="true" ma:isKeyword="false">
      <xsd:complexType>
        <xsd:sequence>
          <xsd:element ref="pc:Terms" minOccurs="0" maxOccurs="1"/>
        </xsd:sequence>
      </xsd:complex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483750-598d-46a0-877d-052f8f804d23"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6b22ef0-6631-4e3d-8660-4ec86ac9ea1c}" ma:internalName="TaxCatchAll" ma:showField="CatchAllData" ma:web="9b483750-598d-46a0-877d-052f8f804d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87033A-3F22-4301-BC4B-B1C7D3123093}">
  <ds:schemaRefs>
    <ds:schemaRef ds:uri="http://www.w3.org/XML/1998/namespace"/>
    <ds:schemaRef ds:uri="http://purl.org/dc/elements/1.1/"/>
    <ds:schemaRef ds:uri="9b483750-598d-46a0-877d-052f8f804d23"/>
    <ds:schemaRef ds:uri="http://schemas.openxmlformats.org/package/2006/metadata/core-properties"/>
    <ds:schemaRef ds:uri="http://schemas.microsoft.com/office/2006/metadata/properties"/>
    <ds:schemaRef ds:uri="http://schemas.microsoft.com/office/2006/documentManagement/types"/>
    <ds:schemaRef ds:uri="b7919694-6f7e-4008-b8d9-56ebe66c43d7"/>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3D4CF353-7072-4E63-AC13-5991F5717EF6}">
  <ds:schemaRefs>
    <ds:schemaRef ds:uri="http://schemas.microsoft.com/sharepoint/v3/contenttype/forms"/>
  </ds:schemaRefs>
</ds:datastoreItem>
</file>

<file path=customXml/itemProps3.xml><?xml version="1.0" encoding="utf-8"?>
<ds:datastoreItem xmlns:ds="http://schemas.openxmlformats.org/officeDocument/2006/customXml" ds:itemID="{6ED94D45-30D5-447B-B2F9-9E4E4FFA7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19694-6f7e-4008-b8d9-56ebe66c43d7"/>
    <ds:schemaRef ds:uri="9b483750-598d-46a0-877d-052f8f804d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7</vt:i4>
      </vt:variant>
      <vt:variant>
        <vt:lpstr>Nimega vahemikud</vt:lpstr>
      </vt:variant>
      <vt:variant>
        <vt:i4>1</vt:i4>
      </vt:variant>
    </vt:vector>
  </HeadingPairs>
  <TitlesOfParts>
    <vt:vector size="8" baseType="lpstr">
      <vt:lpstr>kuni 2025 detsember tegevuskava</vt:lpstr>
      <vt:lpstr>Seirearuanne</vt:lpstr>
      <vt:lpstr>KK_lisa</vt:lpstr>
      <vt:lpstr>Tegevuskava</vt:lpstr>
      <vt:lpstr>Ettekande arvutused</vt:lpstr>
      <vt:lpstr>Personal</vt:lpstr>
      <vt:lpstr>RES ÕIGUSAKTIDE LISAVAJADUS</vt:lpstr>
      <vt:lpstr>Tegevuskava!Prindiala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Liilia Kristal</dc:creator>
  <cp:keywords/>
  <dc:description/>
  <cp:lastModifiedBy>Liilia Kristal - MKM</cp:lastModifiedBy>
  <cp:revision/>
  <cp:lastPrinted>2024-10-16T10:00:09Z</cp:lastPrinted>
  <dcterms:created xsi:type="dcterms:W3CDTF">2020-07-01T09:13:12Z</dcterms:created>
  <dcterms:modified xsi:type="dcterms:W3CDTF">2024-10-16T10:00:58Z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0x010100CFF7EF1C1C062143BFFF71E2625A0116</vt:lpwstr>
  </property>
  <property fmtid="{D5CDD505-2E9C-101B-9397-08002B2CF9AE}" pid="3" name="_dlc_DocIdItemGuid">
    <vt:lpwstr>3d82843b-2587-4efb-bd50-5d6f5c6dcffa</vt:lpwstr>
  </property>
  <property fmtid="{D5CDD505-2E9C-101B-9397-08002B2CF9AE}" pid="4" name="MediaServiceImageTags">
    <vt:lpwstr/>
  </property>
  <property fmtid="{D5CDD505-2E9C-101B-9397-08002B2CF9AE}" pid="5" name="_ExtendedDescription">
    <vt:lpwstr/>
  </property>
  <property fmtid="{D5CDD505-2E9C-101B-9397-08002B2CF9AE}" pid="6" name="MSIP_Label_defa4170-0d19-0005-0004-bc88714345d2_Enabled">
    <vt:lpwstr>true</vt:lpwstr>
  </property>
  <property fmtid="{D5CDD505-2E9C-101B-9397-08002B2CF9AE}" pid="7" name="MSIP_Label_defa4170-0d19-0005-0004-bc88714345d2_SetDate">
    <vt:lpwstr>2024-06-18T07:17:21Z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8fe098d2-428d-4bd4-9803-7195fe96f0e2</vt:lpwstr>
  </property>
  <property fmtid="{D5CDD505-2E9C-101B-9397-08002B2CF9AE}" pid="11" name="MSIP_Label_defa4170-0d19-0005-0004-bc88714345d2_ActionId">
    <vt:lpwstr>8591719a-5c96-4962-b572-b50346b4bd82</vt:lpwstr>
  </property>
  <property fmtid="{D5CDD505-2E9C-101B-9397-08002B2CF9AE}" pid="12" name="MSIP_Label_defa4170-0d19-0005-0004-bc88714345d2_ContentBits">
    <vt:lpwstr>0</vt:lpwstr>
  </property>
</Properties>
</file>